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arno\dev\american-powerhouse-build\docs\"/>
    </mc:Choice>
  </mc:AlternateContent>
  <xr:revisionPtr revIDLastSave="0" documentId="8_{3084DE1D-35AE-42B5-A214-6BC99A13BF3C}" xr6:coauthVersionLast="47" xr6:coauthVersionMax="47" xr10:uidLastSave="{00000000-0000-0000-0000-000000000000}"/>
  <bookViews>
    <workbookView xWindow="-96" yWindow="-96" windowWidth="23232" windowHeight="13872" tabRatio="500" firstSheet="2" activeTab="6" xr2:uid="{00000000-000D-0000-FFFF-FFFF00000000}"/>
  </bookViews>
  <sheets>
    <sheet name="README" sheetId="1" r:id="rId1"/>
    <sheet name="Assumptions" sheetId="2" r:id="rId2"/>
    <sheet name="BuildSchedule" sheetId="3" r:id="rId3"/>
    <sheet name="Capex" sheetId="4" r:id="rId4"/>
    <sheet name="Fiscal" sheetId="5" r:id="rId5"/>
    <sheet name="Benefits" sheetId="6" r:id="rId6"/>
    <sheet name="Household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7" l="1"/>
  <c r="C49" i="7"/>
  <c r="B49" i="7"/>
  <c r="C48" i="7"/>
  <c r="B47" i="7"/>
  <c r="B39" i="7"/>
  <c r="B38" i="7"/>
  <c r="B37" i="7"/>
  <c r="B36" i="7"/>
  <c r="B34" i="7"/>
  <c r="B32" i="7"/>
  <c r="B30" i="7"/>
  <c r="B28" i="7"/>
  <c r="B27" i="7"/>
  <c r="B7" i="6"/>
  <c r="B6" i="6"/>
  <c r="B5" i="6"/>
  <c r="B4" i="6"/>
  <c r="B3" i="6"/>
  <c r="D22" i="5"/>
  <c r="C22" i="5"/>
  <c r="B22" i="5"/>
  <c r="B11" i="5"/>
  <c r="B22" i="4"/>
  <c r="B19" i="4"/>
  <c r="B18" i="4"/>
  <c r="B17" i="4"/>
  <c r="B16" i="4"/>
  <c r="B15" i="4"/>
  <c r="B14" i="4"/>
  <c r="B13" i="4"/>
  <c r="B5" i="4"/>
  <c r="B4" i="4"/>
  <c r="A29" i="3"/>
  <c r="A28" i="3"/>
  <c r="H27" i="3"/>
  <c r="G27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K4" i="3"/>
  <c r="A4" i="3"/>
  <c r="B46" i="7" l="1"/>
  <c r="B8" i="6"/>
  <c r="H28" i="3"/>
  <c r="G28" i="3"/>
  <c r="F28" i="3"/>
  <c r="E28" i="3"/>
  <c r="I28" i="3" s="1"/>
  <c r="B28" i="3"/>
  <c r="F27" i="3"/>
  <c r="E27" i="3"/>
  <c r="B27" i="3"/>
  <c r="H26" i="3"/>
  <c r="G26" i="3"/>
  <c r="F26" i="3"/>
  <c r="E26" i="3"/>
  <c r="I26" i="3" s="1"/>
  <c r="B26" i="3"/>
  <c r="H24" i="3"/>
  <c r="H23" i="3"/>
  <c r="G23" i="3"/>
  <c r="F23" i="3"/>
  <c r="E23" i="3"/>
  <c r="B23" i="3"/>
  <c r="H22" i="3"/>
  <c r="G22" i="3"/>
  <c r="F22" i="3"/>
  <c r="E22" i="3"/>
  <c r="I22" i="3" s="1"/>
  <c r="B22" i="3"/>
  <c r="H20" i="3"/>
  <c r="G20" i="3"/>
  <c r="F20" i="3"/>
  <c r="E20" i="3"/>
  <c r="I20" i="3" s="1"/>
  <c r="H19" i="3"/>
  <c r="G19" i="3"/>
  <c r="F19" i="3"/>
  <c r="E19" i="3"/>
  <c r="I19" i="3" s="1"/>
  <c r="B19" i="3"/>
  <c r="H17" i="3"/>
  <c r="G17" i="3"/>
  <c r="F17" i="3"/>
  <c r="E17" i="3"/>
  <c r="I17" i="3" s="1"/>
  <c r="H16" i="3"/>
  <c r="G16" i="3"/>
  <c r="F16" i="3"/>
  <c r="E16" i="3"/>
  <c r="I16" i="3" s="1"/>
  <c r="B16" i="3"/>
  <c r="H14" i="3"/>
  <c r="G14" i="3"/>
  <c r="F14" i="3"/>
  <c r="E14" i="3"/>
  <c r="I14" i="3" s="1"/>
  <c r="H13" i="3"/>
  <c r="G13" i="3"/>
  <c r="F13" i="3"/>
  <c r="E13" i="3"/>
  <c r="I13" i="3" s="1"/>
  <c r="B13" i="3"/>
  <c r="F11" i="3"/>
  <c r="H10" i="3"/>
  <c r="D49" i="7"/>
  <c r="B48" i="7"/>
  <c r="D48" i="7" s="1"/>
  <c r="C46" i="7"/>
  <c r="B29" i="7"/>
  <c r="H25" i="3"/>
  <c r="G25" i="3"/>
  <c r="F25" i="3"/>
  <c r="E25" i="3"/>
  <c r="B25" i="3"/>
  <c r="G24" i="3"/>
  <c r="F24" i="3"/>
  <c r="E24" i="3"/>
  <c r="B24" i="3"/>
  <c r="H21" i="3"/>
  <c r="G21" i="3"/>
  <c r="F21" i="3"/>
  <c r="E21" i="3"/>
  <c r="B21" i="3"/>
  <c r="B20" i="3"/>
  <c r="H11" i="3"/>
  <c r="F10" i="3"/>
  <c r="B10" i="3"/>
  <c r="H18" i="3"/>
  <c r="G18" i="3"/>
  <c r="F18" i="3"/>
  <c r="E18" i="3"/>
  <c r="I18" i="3" s="1"/>
  <c r="B18" i="3"/>
  <c r="H29" i="3"/>
  <c r="G29" i="3"/>
  <c r="E29" i="3"/>
  <c r="B29" i="3"/>
  <c r="B17" i="3"/>
  <c r="H15" i="3"/>
  <c r="G15" i="3"/>
  <c r="F15" i="3"/>
  <c r="E15" i="3"/>
  <c r="I15" i="3" s="1"/>
  <c r="B15" i="3"/>
  <c r="B14" i="3"/>
  <c r="G11" i="3"/>
  <c r="G10" i="3"/>
  <c r="E10" i="3"/>
  <c r="I10" i="3" s="1"/>
  <c r="B35" i="7"/>
  <c r="B31" i="7"/>
  <c r="B33" i="7" s="1"/>
  <c r="C47" i="7" s="1"/>
  <c r="D47" i="7" s="1"/>
  <c r="C24" i="5"/>
  <c r="C25" i="5" s="1"/>
  <c r="B24" i="5"/>
  <c r="B25" i="5" s="1"/>
  <c r="H12" i="3"/>
  <c r="G12" i="3"/>
  <c r="F12" i="3"/>
  <c r="E12" i="3"/>
  <c r="B12" i="3"/>
  <c r="E11" i="3"/>
  <c r="B11" i="3"/>
  <c r="B9" i="6"/>
  <c r="D24" i="5"/>
  <c r="D25" i="5" s="1"/>
  <c r="H9" i="3"/>
  <c r="G9" i="3"/>
  <c r="F9" i="3"/>
  <c r="E9" i="3"/>
  <c r="I9" i="3" s="1"/>
  <c r="B9" i="3"/>
  <c r="H8" i="3"/>
  <c r="G8" i="3"/>
  <c r="H7" i="3"/>
  <c r="G7" i="3"/>
  <c r="F7" i="3"/>
  <c r="E7" i="3"/>
  <c r="I7" i="3" s="1"/>
  <c r="B7" i="3"/>
  <c r="B52" i="7"/>
  <c r="F8" i="3"/>
  <c r="E8" i="3"/>
  <c r="I8" i="3" s="1"/>
  <c r="B8" i="3"/>
  <c r="F29" i="3"/>
  <c r="H6" i="3"/>
  <c r="G6" i="3"/>
  <c r="F6" i="3"/>
  <c r="E6" i="3"/>
  <c r="I6" i="3" s="1"/>
  <c r="B6" i="3"/>
  <c r="H5" i="3"/>
  <c r="L4" i="3"/>
  <c r="H4" i="3"/>
  <c r="G4" i="3"/>
  <c r="F4" i="3"/>
  <c r="E4" i="3"/>
  <c r="I4" i="3" s="1"/>
  <c r="J4" i="3" s="1"/>
  <c r="C4" i="3"/>
  <c r="D4" i="3" s="1"/>
  <c r="B4" i="3"/>
  <c r="G5" i="3"/>
  <c r="F5" i="3"/>
  <c r="E5" i="3"/>
  <c r="I5" i="3" s="1"/>
  <c r="B5" i="3"/>
  <c r="D46" i="7" l="1"/>
  <c r="B50" i="7"/>
  <c r="J28" i="3"/>
  <c r="K28" i="3"/>
  <c r="L28" i="3" s="1"/>
  <c r="J26" i="3"/>
  <c r="K26" i="3"/>
  <c r="L26" i="3" s="1"/>
  <c r="J22" i="3"/>
  <c r="K22" i="3"/>
  <c r="L22" i="3" s="1"/>
  <c r="J20" i="3"/>
  <c r="K20" i="3"/>
  <c r="J19" i="3"/>
  <c r="K19" i="3"/>
  <c r="J17" i="3"/>
  <c r="K17" i="3"/>
  <c r="J16" i="3"/>
  <c r="K16" i="3"/>
  <c r="J14" i="3"/>
  <c r="K14" i="3"/>
  <c r="J13" i="3"/>
  <c r="J18" i="3"/>
  <c r="K18" i="3"/>
  <c r="J15" i="3"/>
  <c r="K15" i="3"/>
  <c r="J10" i="3"/>
  <c r="K10" i="3"/>
  <c r="J9" i="3"/>
  <c r="K9" i="3"/>
  <c r="J7" i="3"/>
  <c r="K7" i="3"/>
  <c r="J8" i="3"/>
  <c r="K8" i="3"/>
  <c r="J6" i="3"/>
  <c r="K6" i="3"/>
  <c r="M4" i="3"/>
  <c r="J5" i="3"/>
  <c r="K5" i="3"/>
  <c r="C23" i="3"/>
  <c r="C22" i="3"/>
  <c r="C26" i="3"/>
  <c r="C20" i="3"/>
  <c r="C19" i="3"/>
  <c r="C16" i="3"/>
  <c r="C13" i="3"/>
  <c r="C10" i="3"/>
  <c r="C50" i="7"/>
  <c r="B53" i="7" s="1"/>
  <c r="B42" i="7"/>
  <c r="I25" i="3"/>
  <c r="C25" i="3"/>
  <c r="I24" i="3"/>
  <c r="C24" i="3"/>
  <c r="C18" i="3"/>
  <c r="I29" i="3"/>
  <c r="C17" i="3"/>
  <c r="C15" i="3"/>
  <c r="I27" i="3"/>
  <c r="C29" i="3"/>
  <c r="C27" i="3"/>
  <c r="I23" i="3"/>
  <c r="I21" i="3"/>
  <c r="C21" i="3"/>
  <c r="C14" i="3"/>
  <c r="I12" i="3"/>
  <c r="C12" i="3"/>
  <c r="I11" i="3"/>
  <c r="C11" i="3"/>
  <c r="C9" i="3"/>
  <c r="C7" i="3"/>
  <c r="C8" i="3"/>
  <c r="C6" i="3"/>
  <c r="C5" i="3"/>
  <c r="C28" i="3"/>
  <c r="B57" i="7" l="1"/>
  <c r="B58" i="7" s="1"/>
  <c r="B43" i="7"/>
  <c r="K25" i="3"/>
  <c r="L25" i="3" s="1"/>
  <c r="J25" i="3"/>
  <c r="K24" i="3"/>
  <c r="L24" i="3" s="1"/>
  <c r="J24" i="3"/>
  <c r="K29" i="3"/>
  <c r="L29" i="3" s="1"/>
  <c r="J29" i="3"/>
  <c r="D35" i="3" s="1"/>
  <c r="B3" i="4" s="1"/>
  <c r="B6" i="4" s="1"/>
  <c r="K27" i="3"/>
  <c r="L27" i="3" s="1"/>
  <c r="J27" i="3"/>
  <c r="K23" i="3"/>
  <c r="L23" i="3" s="1"/>
  <c r="J23" i="3"/>
  <c r="K21" i="3"/>
  <c r="L21" i="3" s="1"/>
  <c r="J21" i="3"/>
  <c r="K12" i="3"/>
  <c r="L12" i="3" s="1"/>
  <c r="J12" i="3"/>
  <c r="K11" i="3"/>
  <c r="L11" i="3" s="1"/>
  <c r="J11" i="3"/>
  <c r="L20" i="3"/>
  <c r="L19" i="3"/>
  <c r="L17" i="3"/>
  <c r="L16" i="3"/>
  <c r="L14" i="3"/>
  <c r="K13" i="3"/>
  <c r="L13" i="3" s="1"/>
  <c r="L18" i="3"/>
  <c r="L15" i="3"/>
  <c r="L10" i="3"/>
  <c r="L9" i="3"/>
  <c r="L7" i="3"/>
  <c r="L8" i="3"/>
  <c r="L6" i="3"/>
  <c r="D5" i="3"/>
  <c r="L5" i="3"/>
  <c r="D33" i="3" s="1"/>
  <c r="D50" i="7"/>
  <c r="B8" i="4" l="1"/>
  <c r="B12" i="4" s="1"/>
  <c r="B7" i="4"/>
  <c r="B11" i="4" s="1"/>
  <c r="D6" i="3"/>
  <c r="M5" i="3"/>
  <c r="B20" i="4" l="1"/>
  <c r="B21" i="4"/>
  <c r="M6" i="3"/>
  <c r="D7" i="3"/>
  <c r="B23" i="4" l="1"/>
  <c r="B26" i="4"/>
  <c r="M7" i="3"/>
  <c r="D8" i="3"/>
  <c r="B11" i="6" l="1"/>
  <c r="B25" i="4"/>
  <c r="B4" i="5"/>
  <c r="B12" i="6"/>
  <c r="M8" i="3"/>
  <c r="D9" i="3"/>
  <c r="M9" i="3" l="1"/>
  <c r="D10" i="3"/>
  <c r="M10" i="3" l="1"/>
  <c r="D11" i="3"/>
  <c r="D12" i="3" l="1"/>
  <c r="M11" i="3"/>
  <c r="M12" i="3" l="1"/>
  <c r="D13" i="3"/>
  <c r="M13" i="3" l="1"/>
  <c r="D14" i="3"/>
  <c r="D15" i="3" l="1"/>
  <c r="M14" i="3"/>
  <c r="M15" i="3" l="1"/>
  <c r="D16" i="3"/>
  <c r="M16" i="3" l="1"/>
  <c r="D17" i="3"/>
  <c r="M17" i="3" l="1"/>
  <c r="D18" i="3"/>
  <c r="M18" i="3" l="1"/>
  <c r="D19" i="3"/>
  <c r="M19" i="3" l="1"/>
  <c r="D20" i="3"/>
  <c r="M20" i="3" l="1"/>
  <c r="D21" i="3"/>
  <c r="M21" i="3" l="1"/>
  <c r="D22" i="3"/>
  <c r="M22" i="3" l="1"/>
  <c r="D23" i="3"/>
  <c r="M23" i="3" l="1"/>
  <c r="D24" i="3"/>
  <c r="D25" i="3" l="1"/>
  <c r="M24" i="3"/>
  <c r="M25" i="3" l="1"/>
  <c r="D26" i="3"/>
  <c r="M26" i="3" l="1"/>
  <c r="D27" i="3"/>
  <c r="M27" i="3" l="1"/>
  <c r="D28" i="3"/>
  <c r="D29" i="3" l="1"/>
  <c r="M28" i="3"/>
  <c r="M29" i="3" l="1"/>
  <c r="D32" i="3" s="1"/>
  <c r="D34" i="3"/>
  <c r="D36" i="3" s="1"/>
</calcChain>
</file>

<file path=xl/sharedStrings.xml><?xml version="1.0" encoding="utf-8"?>
<sst xmlns="http://schemas.openxmlformats.org/spreadsheetml/2006/main" count="200" uniqueCount="198">
  <si>
    <t>THE REBUILD / The Rebuild Plan - Oil Elimination &amp; Grid Decarbonization Model</t>
  </si>
  <si>
    <t>Purpose: dynamic model of eliminating US oil / fully decarbonizing the grid (no new nuclear), with a front-loaded build schedule and a federal fiscal model.</t>
  </si>
  <si>
    <t>LEGEND:</t>
  </si>
  <si>
    <t xml:space="preserve">  All $ in 2025 USD billions unless noted; energy in TWh/yr; capacity in GW</t>
  </si>
  <si>
    <t>TABS:</t>
  </si>
  <si>
    <t xml:space="preserve">  Assumptions - all input dials</t>
  </si>
  <si>
    <t xml:space="preserve">  BuildSchedule - year-by-year 2026-2051 with front-loaded ramp; finds independence year &amp; underwater years</t>
  </si>
  <si>
    <t xml:space="preserve">  Capex - capacity and cost breakdown for the selected scope</t>
  </si>
  <si>
    <t xml:space="preserve">  Fiscal - federal cost vs revenue levers; net deficit impact (low/central/high)</t>
  </si>
  <si>
    <t xml:space="preserve">  Benefits - annual societal benefits &amp; payback</t>
  </si>
  <si>
    <t>Sources: EIA/CBO/NREL/DOE/EPA anchors as of Jul 2026; assumptions per Arnold analysis sessions (see master reference MD). Figures are order-of-magnitude planning estimates.</t>
  </si>
  <si>
    <t>SESSION 2 CORRECTIONS (Jul 11, 2026): Household tab added mirroring the Rebuild site calculator (the-rebuild.html). Prices updated to today: gasoline $3.85/gal (AAA), electricity 17.5c/kWh (EIA). Heat pump savings include cooling (gas 22%/oil 50%/baseboard 60% + 40% cooling gain); solar offsets 80% of non-heating electricity; 5-minute-neighborhood streams added (car-light $850/mo, walkshed $95/mo, location-efficient home $90/mo); three-futures comparison with -15% real electricity after build and +25% do-nothing escalation; wealth projection at 7% to age 65.</t>
  </si>
  <si>
    <t>NAMING (Jul 11, 2026): Movement renamed THE REBUILD; legislative package = The Rebuild Plan; domain rebuildplan.org available. Prior name The Rebuild conflicted with an active Conservative Energy Network campaign. Naming history in master reference MD.</t>
  </si>
  <si>
    <t>TAGLINE (locked Jul 11, 2026): "Rebuilding the American Power Grid" - a 25-year plan to rebuild the electric grid, making the US energy independent, cutting families utility costs, rebuilding household savings, and paying down the national debt. First bill: The Power Dividend Act.</t>
  </si>
  <si>
    <t>Scope: 1 = oil-only, 2 = fully decarbonize grid</t>
  </si>
  <si>
    <t>Start year</t>
  </si>
  <si>
    <t>Target year</t>
  </si>
  <si>
    <t>Base US generation (TWh)</t>
  </si>
  <si>
    <t>Existing clean retained (TWh; nuclear 780+hydro 250+W&amp;S 720)</t>
  </si>
  <si>
    <t>Legacy fossil generation to replace if Scope=2 (TWh)</t>
  </si>
  <si>
    <t>Data centers today (TWh)</t>
  </si>
  <si>
    <t>Data centers 2050 (TWh)</t>
  </si>
  <si>
    <t>DC S-curve midpoint year</t>
  </si>
  <si>
    <t>DC S-curve steepness k</t>
  </si>
  <si>
    <t>Organic growth %/yr (non-DC base)</t>
  </si>
  <si>
    <t>Oil electrification full load (TWh: EV+efuel input+industry)</t>
  </si>
  <si>
    <t>Building-gas electrification add (TWh)</t>
  </si>
  <si>
    <t>Blended new-build capacity factor</t>
  </si>
  <si>
    <t>Front-load: peak build (GW/yr)</t>
  </si>
  <si>
    <t>Front-load: plateau build (GW/yr)</t>
  </si>
  <si>
    <t>Ramp: start build 2026 (GW/yr)</t>
  </si>
  <si>
    <t>Ramp years to peak</t>
  </si>
  <si>
    <t>EGS cap (GW, 0.85 CF)</t>
  </si>
  <si>
    <t>Hydro add (GW, 0.45 CF)</t>
  </si>
  <si>
    <t>Solar CF</t>
  </si>
  <si>
    <t>Wind CF (on+off blend)</t>
  </si>
  <si>
    <t>Solar $/W</t>
  </si>
  <si>
    <t>Wind $/W</t>
  </si>
  <si>
    <t>EGS $/W</t>
  </si>
  <si>
    <t>Hydro $/W</t>
  </si>
  <si>
    <t>Storage+V2G+thermal ($B, scope-scaled base)</t>
  </si>
  <si>
    <t>Electrolyzer+e-fuel+seasonal ($B)</t>
  </si>
  <si>
    <t>HVDC+T&amp;D ($B)</t>
  </si>
  <si>
    <t>EV premium+chargers ($B)</t>
  </si>
  <si>
    <t>Transit/BRT/TOD ($B)</t>
  </si>
  <si>
    <t>Buildings &amp; heat layer ($B)</t>
  </si>
  <si>
    <t>Contingency %</t>
  </si>
  <si>
    <t>Job-year cost ($/job-yr)</t>
  </si>
  <si>
    <t>Social cost of carbon ($/t)</t>
  </si>
  <si>
    <t>VSL ($M)</t>
  </si>
  <si>
    <t>Lives saved low (k/yr)</t>
  </si>
  <si>
    <t>Lives saved high (k/yr)</t>
  </si>
  <si>
    <t>Fuel+bill savings ($B/yr)</t>
  </si>
  <si>
    <t>Resilience value ($B/yr)</t>
  </si>
  <si>
    <t>Oil CO2 (Gt/yr)</t>
  </si>
  <si>
    <t>Building gas CO2 (Gt/yr)</t>
  </si>
  <si>
    <t>FRONT-LOADED BUILD SCHEDULE &amp; DEMAND RACE (2026-2051)</t>
  </si>
  <si>
    <t>Year</t>
  </si>
  <si>
    <t>Build GW/yr</t>
  </si>
  <si>
    <t>Added TWh</t>
  </si>
  <si>
    <t>Cum new clean TWh</t>
  </si>
  <si>
    <t>Data ctr TWh</t>
  </si>
  <si>
    <t>Organic TWh</t>
  </si>
  <si>
    <t>Oil-elec TWh</t>
  </si>
  <si>
    <t>Bldg TWh</t>
  </si>
  <si>
    <t>Total demand TWh</t>
  </si>
  <si>
    <t>New load vs 2026</t>
  </si>
  <si>
    <t>Demand growth this yr</t>
  </si>
  <si>
    <t>Underwater? (growth&gt;build)</t>
  </si>
  <si>
    <t>Oil covered cleanly?</t>
  </si>
  <si>
    <t>KEY OUTPUTS</t>
  </si>
  <si>
    <t>Independence year (oil covered cleanly)</t>
  </si>
  <si>
    <t>Underwater years (count)</t>
  </si>
  <si>
    <t>New clean built by target (TWh)</t>
  </si>
  <si>
    <t>Required new clean (TWh, scope-adjusted)</t>
  </si>
  <si>
    <t>Surplus / (shortfall) TWh</t>
  </si>
  <si>
    <t>CAPACITY &amp; CAPEX</t>
  </si>
  <si>
    <t>New clean required (TWh)</t>
  </si>
  <si>
    <t>EGS TWh</t>
  </si>
  <si>
    <t>Hydro TWh</t>
  </si>
  <si>
    <t>Variable TWh (solar+wind 50/50)</t>
  </si>
  <si>
    <t>Solar GW</t>
  </si>
  <si>
    <t>Wind GW</t>
  </si>
  <si>
    <t>COMPONENT ($B)</t>
  </si>
  <si>
    <t>Cost</t>
  </si>
  <si>
    <t>Solar (UPV+BIPV)</t>
  </si>
  <si>
    <t>Wind (on+offshore)</t>
  </si>
  <si>
    <t>EGS geothermal</t>
  </si>
  <si>
    <t>Hydro</t>
  </si>
  <si>
    <t>Storage+V2G+thermal</t>
  </si>
  <si>
    <t>Electrolyzers+e-fuel</t>
  </si>
  <si>
    <t>HVDC+T&amp;D</t>
  </si>
  <si>
    <t>EV premium+chargers</t>
  </si>
  <si>
    <t>Transit/BRT/TOD</t>
  </si>
  <si>
    <t>Contingency</t>
  </si>
  <si>
    <t>CORE TOTAL</t>
  </si>
  <si>
    <t>+ Buildings &amp; heat layer</t>
  </si>
  <si>
    <t>GRAND TOTAL</t>
  </si>
  <si>
    <t>Per year over program</t>
  </si>
  <si>
    <t>Sustained jobs (M, direct)</t>
  </si>
  <si>
    <t>FEDERAL FISCAL MODEL ($B/yr, mid-program)</t>
  </si>
  <si>
    <t>Private capital share</t>
  </si>
  <si>
    <t>Private capital carries ($T)</t>
  </si>
  <si>
    <t>FEDERAL PUBLIC COST</t>
  </si>
  <si>
    <t>Clean tax credits (tech-neutral, declining)</t>
  </si>
  <si>
    <t>Transmission/transit/RD&amp;D</t>
  </si>
  <si>
    <t>Green bank + loan guarantees</t>
  </si>
  <si>
    <t>Just transition</t>
  </si>
  <si>
    <t>Total public cost</t>
  </si>
  <si>
    <t>REVENUE / OFFSETS / SAVINGS</t>
  </si>
  <si>
    <t>Low</t>
  </si>
  <si>
    <t>Central</t>
  </si>
  <si>
    <t>High</t>
  </si>
  <si>
    <t>Status</t>
  </si>
  <si>
    <t>Carbon fee (net after dividend)</t>
  </si>
  <si>
    <t>Econ consensus - keystone</t>
  </si>
  <si>
    <t>Cut fossil tax subsidies (phased)</t>
  </si>
  <si>
    <t>Consensus</t>
  </si>
  <si>
    <t>Higher taxes on wealthy</t>
  </si>
  <si>
    <t>Revenue real; yields debated</t>
  </si>
  <si>
    <t>Social Security cap lift / means test</t>
  </si>
  <si>
    <t>VALUES CHOICE</t>
  </si>
  <si>
    <t>Defense reallocation (oil mission)</t>
  </si>
  <si>
    <t>CONTESTED</t>
  </si>
  <si>
    <t>Federal health savings (cleaner air)</t>
  </si>
  <si>
    <t>Plausible, lagging</t>
  </si>
  <si>
    <t>Avoided climate/disaster outlays</t>
  </si>
  <si>
    <t>Rises over time</t>
  </si>
  <si>
    <t>Growth / broader tax base</t>
  </si>
  <si>
    <t>Dynamic; uncertain</t>
  </si>
  <si>
    <t>Total positives</t>
  </si>
  <si>
    <t>NET ANNUAL DEFICIT IMPROVEMENT</t>
  </si>
  <si>
    <t>Cumulative over program ($T)</t>
  </si>
  <si>
    <t>ANNUAL SOCIETAL BENEFITS &amp; PAYBACK</t>
  </si>
  <si>
    <t>Climate ($B/yr)</t>
  </si>
  <si>
    <t>Health low ($B/yr)</t>
  </si>
  <si>
    <t>Health high ($B/yr)</t>
  </si>
  <si>
    <t>Resilience ($B/yr)</t>
  </si>
  <si>
    <t>Total low</t>
  </si>
  <si>
    <t>Total high</t>
  </si>
  <si>
    <t>Payback vs grand total (yrs, low ben)</t>
  </si>
  <si>
    <t>Payback vs grand total (yrs, high ben)</t>
  </si>
  <si>
    <t>HOUSEHOLD CALCULATOR (mirrors site; prices as of Jul 2026)</t>
  </si>
  <si>
    <t>Miles driven per year</t>
  </si>
  <si>
    <t>Vehicle MPG</t>
  </si>
  <si>
    <t>Gasoline $/gal (AAA Jul 2026)</t>
  </si>
  <si>
    <t>Electricity $/kWh (EIA Jul 2026)</t>
  </si>
  <si>
    <t>EV efficiency kWh/mile</t>
  </si>
  <si>
    <t>Monthly utility bill</t>
  </si>
  <si>
    <t>Heat type: 1=gas 2=oil/propane 3=elec baseboard 4=heat pump</t>
  </si>
  <si>
    <t>Your age</t>
  </si>
  <si>
    <t>Share of savings invested</t>
  </si>
  <si>
    <t>Annual return</t>
  </si>
  <si>
    <t>Carbon dividend $/household/yr</t>
  </si>
  <si>
    <t>Electricity real decline after build</t>
  </si>
  <si>
    <t>Do-nothing escalation by 2040</t>
  </si>
  <si>
    <t>LEVERS (1=on, 0=off)</t>
  </si>
  <si>
    <t>EV at next trade-in</t>
  </si>
  <si>
    <t>Heat pump</t>
  </si>
  <si>
    <t>Weatherize</t>
  </si>
  <si>
    <t>Rooftop/community solar</t>
  </si>
  <si>
    <t>Two cars -&gt; one</t>
  </si>
  <si>
    <t>Daily needs within a walk</t>
  </si>
  <si>
    <t>Location-efficient home</t>
  </si>
  <si>
    <t>LEVER VALUES ($/yr)</t>
  </si>
  <si>
    <t>Gasoline cost (baseline)</t>
  </si>
  <si>
    <t>EV charging cost</t>
  </si>
  <si>
    <t>EV value (fuel+maint)</t>
  </si>
  <si>
    <t>Heating share of bill</t>
  </si>
  <si>
    <t>Heating cost/yr</t>
  </si>
  <si>
    <t>Cooling cost/yr</t>
  </si>
  <si>
    <t>Heat pump value</t>
  </si>
  <si>
    <t>Weatherization value</t>
  </si>
  <si>
    <t>Solar value (80% non-heat elec)</t>
  </si>
  <si>
    <t>Two cars -&gt; one (AAA all-in)</t>
  </si>
  <si>
    <t>Walkable errands</t>
  </si>
  <si>
    <t>Carbon fee still paid</t>
  </si>
  <si>
    <t>RESULTS</t>
  </si>
  <si>
    <t>Net kept per year</t>
  </si>
  <si>
    <t>Net kept per month</t>
  </si>
  <si>
    <t>THREE FUTURES (monthly)</t>
  </si>
  <si>
    <t>Today</t>
  </si>
  <si>
    <t>After the build</t>
  </si>
  <si>
    <t>You keep</t>
  </si>
  <si>
    <t>Driving</t>
  </si>
  <si>
    <t>Home heating/cooling/power</t>
  </si>
  <si>
    <t>Second car + errand trips</t>
  </si>
  <si>
    <t>Monthly dividend</t>
  </si>
  <si>
    <t>TOTAL</t>
  </si>
  <si>
    <t>Do-nothing path (2040, fossil escalation)</t>
  </si>
  <si>
    <t>Do-nothing tax vs after-build ($/mo)</t>
  </si>
  <si>
    <t>WEALTH PROJECTION (asset-poverty exit)</t>
  </si>
  <si>
    <t>Years to 65</t>
  </si>
  <si>
    <t>Monthly invested</t>
  </si>
  <si>
    <t>Projected assets at 65</t>
  </si>
  <si>
    <t>ASSUMPTIONS (edit blue-text shaded cells)</t>
  </si>
  <si>
    <t xml:space="preserve">  Blue text on soft gold fill = inputs you can change</t>
  </si>
  <si>
    <t xml:space="preserve">  Black text = formulas (do not overwrite); navy on light blue = key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</si>
</sst>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0.00"/>
    <numFmt numFmtId="165" formatCode="\$#,##0"/>
    <numFmt numFmtId="166" formatCode="0.0%"/>
    <numFmt numFmtId="167" formatCode="0.0"/>
    <numFmt numFmtId="168" formatCode="\$0.0"/>
    <numFmt numFmtId="169" formatCode="\$0.000"/>
  </numFmts>
  <fonts count="7" x14ac:knownFonts="1">
    <font>
      <sz val="11"/>
      <color theme="1"/>
      <name val="Calibri"/>
      <family val="2"/>
      <charset val="1"/>
    </font>
    <font>
      <b/>
      <sz val="14"/>
      <color rgb="FF2D5F8B"/>
      <name val="Arial"/>
      <charset val="1"/>
    </font>
    <font>
      <sz val="11"/>
      <name val="Arial"/>
      <charset val="1"/>
    </font>
    <font>
      <b/>
      <sz val="11"/>
      <name val="Arial"/>
      <charset val="1"/>
    </font>
    <font>
      <sz val="11"/>
      <color rgb="FF0000FF"/>
      <name val="Arial"/>
      <charset val="1"/>
    </font>
    <font>
      <sz val="11"/>
      <name val="Arial"/>
    </font>
    <font>
      <b/>
      <sz val="11"/>
      <color rgb="FF1F4E79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EDF2F7"/>
        <bgColor rgb="FFFFFFCC"/>
      </patternFill>
    </fill>
    <fill>
      <patternFill patternType="solid">
        <fgColor rgb="FFFFF2CC"/>
        <bgColor indexed="64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rgb="FF718096"/>
      </left>
      <right style="thin">
        <color rgb="FF718096"/>
      </right>
      <top style="thin">
        <color rgb="FF718096"/>
      </top>
      <bottom style="thin">
        <color rgb="FF718096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1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0" fontId="3" fillId="2" borderId="0" xfId="0" applyFont="1" applyFill="1"/>
    <xf numFmtId="165" fontId="2" fillId="0" borderId="1" xfId="0" applyNumberFormat="1" applyFont="1" applyBorder="1"/>
    <xf numFmtId="165" fontId="3" fillId="2" borderId="1" xfId="0" applyNumberFormat="1" applyFont="1" applyFill="1" applyBorder="1"/>
    <xf numFmtId="167" fontId="2" fillId="0" borderId="1" xfId="0" applyNumberFormat="1" applyFont="1" applyBorder="1"/>
    <xf numFmtId="168" fontId="2" fillId="0" borderId="1" xfId="0" applyNumberFormat="1" applyFont="1" applyBorder="1"/>
    <xf numFmtId="3" fontId="4" fillId="3" borderId="1" xfId="0" applyNumberFormat="1" applyFont="1" applyFill="1" applyBorder="1"/>
    <xf numFmtId="1" fontId="4" fillId="3" borderId="1" xfId="0" applyNumberFormat="1" applyFont="1" applyFill="1" applyBorder="1"/>
    <xf numFmtId="2" fontId="4" fillId="3" borderId="1" xfId="0" applyNumberFormat="1" applyFont="1" applyFill="1" applyBorder="1"/>
    <xf numFmtId="1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167" fontId="4" fillId="3" borderId="1" xfId="0" applyNumberFormat="1" applyFont="1" applyFill="1" applyBorder="1"/>
    <xf numFmtId="0" fontId="5" fillId="0" borderId="0" xfId="0" applyFont="1"/>
    <xf numFmtId="1" fontId="6" fillId="4" borderId="1" xfId="0" applyNumberFormat="1" applyFont="1" applyFill="1" applyBorder="1"/>
    <xf numFmtId="3" fontId="6" fillId="4" borderId="1" xfId="0" applyNumberFormat="1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0" fontId="6" fillId="4" borderId="0" xfId="0" applyFont="1" applyFill="1"/>
    <xf numFmtId="169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DF2F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18096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2D5F8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875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E43BB39-2583-4039-A6FD-408F9840D464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bc53f5c6-a722-4e34-b079-545a6e0f529d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zoomScaleNormal="100" workbookViewId="0"/>
  </sheetViews>
  <sheetFormatPr defaultColWidth="8.68359375" defaultRowHeight="14.4" x14ac:dyDescent="0.55000000000000004"/>
  <cols>
    <col min="1" max="1" width="130" customWidth="1"/>
  </cols>
  <sheetData>
    <row r="1" spans="1:1" ht="17.25" customHeight="1" x14ac:dyDescent="0.6">
      <c r="A1" s="1" t="s">
        <v>0</v>
      </c>
    </row>
    <row r="3" spans="1:1" ht="15" customHeight="1" x14ac:dyDescent="0.55000000000000004">
      <c r="A3" s="2" t="s">
        <v>1</v>
      </c>
    </row>
    <row r="5" spans="1:1" ht="15" customHeight="1" x14ac:dyDescent="0.55000000000000004">
      <c r="A5" s="3" t="s">
        <v>2</v>
      </c>
    </row>
    <row r="6" spans="1:1" ht="15" customHeight="1" x14ac:dyDescent="0.55000000000000004">
      <c r="A6" s="2" t="s">
        <v>196</v>
      </c>
    </row>
    <row r="7" spans="1:1" ht="15" customHeight="1" x14ac:dyDescent="0.55000000000000004">
      <c r="A7" s="2" t="s">
        <v>197</v>
      </c>
    </row>
    <row r="8" spans="1:1" ht="15" customHeight="1" x14ac:dyDescent="0.55000000000000004">
      <c r="A8" s="2" t="s">
        <v>3</v>
      </c>
    </row>
    <row r="10" spans="1:1" ht="15" customHeight="1" x14ac:dyDescent="0.55000000000000004">
      <c r="A10" s="3" t="s">
        <v>4</v>
      </c>
    </row>
    <row r="11" spans="1:1" ht="15" customHeight="1" x14ac:dyDescent="0.55000000000000004">
      <c r="A11" s="2" t="s">
        <v>5</v>
      </c>
    </row>
    <row r="12" spans="1:1" ht="15" customHeight="1" x14ac:dyDescent="0.55000000000000004">
      <c r="A12" s="2" t="s">
        <v>6</v>
      </c>
    </row>
    <row r="13" spans="1:1" ht="15" customHeight="1" x14ac:dyDescent="0.55000000000000004">
      <c r="A13" s="2" t="s">
        <v>7</v>
      </c>
    </row>
    <row r="14" spans="1:1" ht="15" customHeight="1" x14ac:dyDescent="0.55000000000000004">
      <c r="A14" s="2" t="s">
        <v>8</v>
      </c>
    </row>
    <row r="15" spans="1:1" ht="15" customHeight="1" x14ac:dyDescent="0.55000000000000004">
      <c r="A15" s="2" t="s">
        <v>9</v>
      </c>
    </row>
    <row r="17" spans="1:1" ht="15" customHeight="1" x14ac:dyDescent="0.55000000000000004">
      <c r="A17" s="2" t="s">
        <v>10</v>
      </c>
    </row>
    <row r="19" spans="1:1" ht="15" customHeight="1" x14ac:dyDescent="0.55000000000000004">
      <c r="A19" s="2" t="s">
        <v>11</v>
      </c>
    </row>
    <row r="21" spans="1:1" x14ac:dyDescent="0.55000000000000004">
      <c r="A21" s="21" t="s">
        <v>12</v>
      </c>
    </row>
    <row r="22" spans="1:1" x14ac:dyDescent="0.55000000000000004">
      <c r="A22" s="21" t="s">
        <v>13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zoomScaleNormal="100" workbookViewId="0"/>
  </sheetViews>
  <sheetFormatPr defaultColWidth="8.68359375" defaultRowHeight="14.4" x14ac:dyDescent="0.55000000000000004"/>
  <cols>
    <col min="1" max="1" width="62" customWidth="1"/>
    <col min="2" max="2" width="14" customWidth="1"/>
  </cols>
  <sheetData>
    <row r="1" spans="1:2" ht="17.25" customHeight="1" x14ac:dyDescent="0.6">
      <c r="A1" s="1" t="s">
        <v>195</v>
      </c>
    </row>
    <row r="3" spans="1:2" ht="15" customHeight="1" x14ac:dyDescent="0.55000000000000004">
      <c r="A3" s="2" t="s">
        <v>14</v>
      </c>
      <c r="B3" s="13">
        <v>2</v>
      </c>
    </row>
    <row r="4" spans="1:2" ht="15" customHeight="1" x14ac:dyDescent="0.55000000000000004">
      <c r="A4" s="2" t="s">
        <v>15</v>
      </c>
      <c r="B4" s="14">
        <v>2026</v>
      </c>
    </row>
    <row r="5" spans="1:2" ht="15" customHeight="1" x14ac:dyDescent="0.55000000000000004">
      <c r="A5" s="2" t="s">
        <v>16</v>
      </c>
      <c r="B5" s="14">
        <v>2051</v>
      </c>
    </row>
    <row r="6" spans="1:2" ht="15" customHeight="1" x14ac:dyDescent="0.55000000000000004">
      <c r="A6" s="2" t="s">
        <v>17</v>
      </c>
      <c r="B6" s="13">
        <v>4300</v>
      </c>
    </row>
    <row r="7" spans="1:2" ht="15" customHeight="1" x14ac:dyDescent="0.55000000000000004">
      <c r="A7" s="2" t="s">
        <v>18</v>
      </c>
      <c r="B7" s="13">
        <v>1750</v>
      </c>
    </row>
    <row r="8" spans="1:2" ht="15" customHeight="1" x14ac:dyDescent="0.55000000000000004">
      <c r="A8" s="2" t="s">
        <v>19</v>
      </c>
      <c r="B8" s="13">
        <v>2550</v>
      </c>
    </row>
    <row r="9" spans="1:2" ht="15" customHeight="1" x14ac:dyDescent="0.55000000000000004">
      <c r="A9" s="2" t="s">
        <v>20</v>
      </c>
      <c r="B9" s="13">
        <v>185</v>
      </c>
    </row>
    <row r="10" spans="1:2" ht="15" customHeight="1" x14ac:dyDescent="0.55000000000000004">
      <c r="A10" s="2" t="s">
        <v>21</v>
      </c>
      <c r="B10" s="13">
        <v>800</v>
      </c>
    </row>
    <row r="11" spans="1:2" ht="15" customHeight="1" x14ac:dyDescent="0.55000000000000004">
      <c r="A11" s="2" t="s">
        <v>22</v>
      </c>
      <c r="B11" s="14">
        <v>2032</v>
      </c>
    </row>
    <row r="12" spans="1:2" ht="15" customHeight="1" x14ac:dyDescent="0.55000000000000004">
      <c r="A12" s="2" t="s">
        <v>23</v>
      </c>
      <c r="B12" s="15">
        <v>0.45</v>
      </c>
    </row>
    <row r="13" spans="1:2" ht="15" customHeight="1" x14ac:dyDescent="0.55000000000000004">
      <c r="A13" s="2" t="s">
        <v>24</v>
      </c>
      <c r="B13" s="16">
        <v>5.0000000000000001E-3</v>
      </c>
    </row>
    <row r="14" spans="1:2" ht="15" customHeight="1" x14ac:dyDescent="0.55000000000000004">
      <c r="A14" s="2" t="s">
        <v>25</v>
      </c>
      <c r="B14" s="13">
        <v>3230</v>
      </c>
    </row>
    <row r="15" spans="1:2" ht="15" customHeight="1" x14ac:dyDescent="0.55000000000000004">
      <c r="A15" s="2" t="s">
        <v>26</v>
      </c>
      <c r="B15" s="13">
        <v>400</v>
      </c>
    </row>
    <row r="16" spans="1:2" ht="15" customHeight="1" x14ac:dyDescent="0.55000000000000004">
      <c r="A16" s="2" t="s">
        <v>27</v>
      </c>
      <c r="B16" s="15">
        <v>0.34</v>
      </c>
    </row>
    <row r="17" spans="1:2" ht="15" customHeight="1" x14ac:dyDescent="0.55000000000000004">
      <c r="A17" s="2" t="s">
        <v>28</v>
      </c>
      <c r="B17" s="13">
        <v>120</v>
      </c>
    </row>
    <row r="18" spans="1:2" ht="15" customHeight="1" x14ac:dyDescent="0.55000000000000004">
      <c r="A18" s="2" t="s">
        <v>29</v>
      </c>
      <c r="B18" s="13">
        <v>100</v>
      </c>
    </row>
    <row r="19" spans="1:2" ht="15" customHeight="1" x14ac:dyDescent="0.55000000000000004">
      <c r="A19" s="2" t="s">
        <v>30</v>
      </c>
      <c r="B19" s="13">
        <v>40</v>
      </c>
    </row>
    <row r="20" spans="1:2" ht="15" customHeight="1" x14ac:dyDescent="0.55000000000000004">
      <c r="A20" s="2" t="s">
        <v>31</v>
      </c>
      <c r="B20" s="13">
        <v>5</v>
      </c>
    </row>
    <row r="21" spans="1:2" ht="15" customHeight="1" x14ac:dyDescent="0.55000000000000004">
      <c r="A21" s="2" t="s">
        <v>32</v>
      </c>
      <c r="B21" s="13">
        <v>90</v>
      </c>
    </row>
    <row r="22" spans="1:2" ht="15" customHeight="1" x14ac:dyDescent="0.55000000000000004">
      <c r="A22" s="2" t="s">
        <v>33</v>
      </c>
      <c r="B22" s="13">
        <v>15</v>
      </c>
    </row>
    <row r="23" spans="1:2" ht="15" customHeight="1" x14ac:dyDescent="0.55000000000000004">
      <c r="A23" s="2" t="s">
        <v>34</v>
      </c>
      <c r="B23" s="15">
        <v>0.24</v>
      </c>
    </row>
    <row r="24" spans="1:2" ht="15" customHeight="1" x14ac:dyDescent="0.55000000000000004">
      <c r="A24" s="2" t="s">
        <v>35</v>
      </c>
      <c r="B24" s="15">
        <v>0.4</v>
      </c>
    </row>
    <row r="25" spans="1:2" ht="15" customHeight="1" x14ac:dyDescent="0.55000000000000004">
      <c r="A25" s="2" t="s">
        <v>36</v>
      </c>
      <c r="B25" s="17">
        <v>1.25</v>
      </c>
    </row>
    <row r="26" spans="1:2" ht="15" customHeight="1" x14ac:dyDescent="0.55000000000000004">
      <c r="A26" s="2" t="s">
        <v>37</v>
      </c>
      <c r="B26" s="17">
        <v>1.7</v>
      </c>
    </row>
    <row r="27" spans="1:2" ht="15" customHeight="1" x14ac:dyDescent="0.55000000000000004">
      <c r="A27" s="2" t="s">
        <v>38</v>
      </c>
      <c r="B27" s="17">
        <v>4.5</v>
      </c>
    </row>
    <row r="28" spans="1:2" ht="15" customHeight="1" x14ac:dyDescent="0.55000000000000004">
      <c r="A28" s="2" t="s">
        <v>39</v>
      </c>
      <c r="B28" s="17">
        <v>3</v>
      </c>
    </row>
    <row r="29" spans="1:2" ht="15" customHeight="1" x14ac:dyDescent="0.55000000000000004">
      <c r="A29" s="2" t="s">
        <v>40</v>
      </c>
      <c r="B29" s="18">
        <v>1450</v>
      </c>
    </row>
    <row r="30" spans="1:2" ht="15" customHeight="1" x14ac:dyDescent="0.55000000000000004">
      <c r="A30" s="2" t="s">
        <v>41</v>
      </c>
      <c r="B30" s="18">
        <v>900</v>
      </c>
    </row>
    <row r="31" spans="1:2" ht="15" customHeight="1" x14ac:dyDescent="0.55000000000000004">
      <c r="A31" s="2" t="s">
        <v>42</v>
      </c>
      <c r="B31" s="18">
        <v>1400</v>
      </c>
    </row>
    <row r="32" spans="1:2" ht="15" customHeight="1" x14ac:dyDescent="0.55000000000000004">
      <c r="A32" s="2" t="s">
        <v>43</v>
      </c>
      <c r="B32" s="18">
        <v>850</v>
      </c>
    </row>
    <row r="33" spans="1:2" ht="15" customHeight="1" x14ac:dyDescent="0.55000000000000004">
      <c r="A33" s="2" t="s">
        <v>44</v>
      </c>
      <c r="B33" s="18">
        <v>350</v>
      </c>
    </row>
    <row r="34" spans="1:2" ht="15" customHeight="1" x14ac:dyDescent="0.55000000000000004">
      <c r="A34" s="2" t="s">
        <v>45</v>
      </c>
      <c r="B34" s="18">
        <v>1900</v>
      </c>
    </row>
    <row r="35" spans="1:2" ht="15" customHeight="1" x14ac:dyDescent="0.55000000000000004">
      <c r="A35" s="2" t="s">
        <v>46</v>
      </c>
      <c r="B35" s="19">
        <v>0.08</v>
      </c>
    </row>
    <row r="36" spans="1:2" ht="15" customHeight="1" x14ac:dyDescent="0.55000000000000004">
      <c r="A36" s="2" t="s">
        <v>47</v>
      </c>
      <c r="B36" s="18">
        <v>250000</v>
      </c>
    </row>
    <row r="37" spans="1:2" ht="15" customHeight="1" x14ac:dyDescent="0.55000000000000004">
      <c r="A37" s="2" t="s">
        <v>48</v>
      </c>
      <c r="B37" s="18">
        <v>190</v>
      </c>
    </row>
    <row r="38" spans="1:2" ht="15" customHeight="1" x14ac:dyDescent="0.55000000000000004">
      <c r="A38" s="2" t="s">
        <v>49</v>
      </c>
      <c r="B38" s="18">
        <v>11</v>
      </c>
    </row>
    <row r="39" spans="1:2" ht="15" customHeight="1" x14ac:dyDescent="0.55000000000000004">
      <c r="A39" s="2" t="s">
        <v>50</v>
      </c>
      <c r="B39" s="13">
        <v>40</v>
      </c>
    </row>
    <row r="40" spans="1:2" ht="15" customHeight="1" x14ac:dyDescent="0.55000000000000004">
      <c r="A40" s="2" t="s">
        <v>51</v>
      </c>
      <c r="B40" s="13">
        <v>95</v>
      </c>
    </row>
    <row r="41" spans="1:2" ht="15" customHeight="1" x14ac:dyDescent="0.55000000000000004">
      <c r="A41" s="2" t="s">
        <v>52</v>
      </c>
      <c r="B41" s="18">
        <v>1200</v>
      </c>
    </row>
    <row r="42" spans="1:2" ht="15" customHeight="1" x14ac:dyDescent="0.55000000000000004">
      <c r="A42" s="2" t="s">
        <v>53</v>
      </c>
      <c r="B42" s="18">
        <v>100</v>
      </c>
    </row>
    <row r="43" spans="1:2" ht="15" customHeight="1" x14ac:dyDescent="0.55000000000000004">
      <c r="A43" s="2" t="s">
        <v>54</v>
      </c>
      <c r="B43" s="20">
        <v>2.2000000000000002</v>
      </c>
    </row>
    <row r="44" spans="1:2" ht="15" customHeight="1" x14ac:dyDescent="0.55000000000000004">
      <c r="A44" s="2" t="s">
        <v>55</v>
      </c>
      <c r="B44" s="20">
        <v>0.8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zoomScaleNormal="100" workbookViewId="0"/>
  </sheetViews>
  <sheetFormatPr defaultColWidth="8.68359375" defaultRowHeight="14.4" x14ac:dyDescent="0.55000000000000004"/>
  <cols>
    <col min="1" max="1" width="8" customWidth="1"/>
    <col min="2" max="13" width="13" customWidth="1"/>
  </cols>
  <sheetData>
    <row r="1" spans="1:13" ht="17.25" customHeight="1" x14ac:dyDescent="0.6">
      <c r="A1" s="1" t="s">
        <v>56</v>
      </c>
    </row>
    <row r="3" spans="1:13" ht="15" customHeight="1" x14ac:dyDescent="0.55000000000000004">
      <c r="A3" s="4" t="s">
        <v>57</v>
      </c>
      <c r="B3" s="4" t="s">
        <v>58</v>
      </c>
      <c r="C3" s="4" t="s">
        <v>59</v>
      </c>
      <c r="D3" s="4" t="s">
        <v>60</v>
      </c>
      <c r="E3" s="4" t="s">
        <v>61</v>
      </c>
      <c r="F3" s="4" t="s">
        <v>62</v>
      </c>
      <c r="G3" s="4" t="s">
        <v>63</v>
      </c>
      <c r="H3" s="4" t="s">
        <v>64</v>
      </c>
      <c r="I3" s="4" t="s">
        <v>65</v>
      </c>
      <c r="J3" s="4" t="s">
        <v>66</v>
      </c>
      <c r="K3" s="4" t="s">
        <v>67</v>
      </c>
      <c r="L3" s="4" t="s">
        <v>68</v>
      </c>
      <c r="M3" s="4" t="s">
        <v>69</v>
      </c>
    </row>
    <row r="4" spans="1:13" ht="15" customHeight="1" x14ac:dyDescent="0.55000000000000004">
      <c r="A4" s="5">
        <f>Assumptions!$B$4+0</f>
        <v>2026</v>
      </c>
      <c r="B4" s="6">
        <f>IF(A4-Assumptions!$B$4&lt;Assumptions!$B$20,Assumptions!$B$19+(Assumptions!$B$17-Assumptions!$B$19)*(A4-Assumptions!$B$4)/Assumptions!$B$20,IF(A4-Assumptions!$B$4&lt;Assumptions!$B$20+5,Assumptions!$B$17,Assumptions!$B$18))</f>
        <v>40</v>
      </c>
      <c r="C4" s="6">
        <f>IF(A4=Assumptions!$B$4,0,B4*8.766*Assumptions!$B$16)</f>
        <v>0</v>
      </c>
      <c r="D4" s="6">
        <f>C4</f>
        <v>0</v>
      </c>
      <c r="E4" s="6">
        <f>Assumptions!$B$9+(Assumptions!$B$10-Assumptions!$B$9)/(1+EXP(-Assumptions!$B$12*(A4-Assumptions!$B$11)))</f>
        <v>223.72861397505284</v>
      </c>
      <c r="F4" s="6">
        <f>(Assumptions!$B$6-Assumptions!$B$9)*(1+Assumptions!$B$13)^(A4-Assumptions!$B$4)</f>
        <v>4115</v>
      </c>
      <c r="G4" s="6">
        <f>Assumptions!$B$14*MIN((A4-Assumptions!$B$4)/(Assumptions!$B$5-Assumptions!$B$4),1)^0.9</f>
        <v>0</v>
      </c>
      <c r="H4" s="6">
        <f>Assumptions!$B$15*MIN((A4-Assumptions!$B$4)/(Assumptions!$B$5-Assumptions!$B$4),1)</f>
        <v>0</v>
      </c>
      <c r="I4" s="6">
        <f t="shared" ref="I4:I29" si="0">E4+F4+G4+H4</f>
        <v>4338.7286139750531</v>
      </c>
      <c r="J4" s="6">
        <f t="shared" ref="J4:J29" si="1">I4-$I$4</f>
        <v>0</v>
      </c>
      <c r="K4" s="6">
        <f>0</f>
        <v>0</v>
      </c>
      <c r="L4" s="7" t="str">
        <f>IF(A4=Assumptions!$B$4,"",IF(K4&gt;C4,"YES",""))</f>
        <v/>
      </c>
      <c r="M4" s="7" t="str">
        <f>IF(D4&gt;=J4+IF(Assumptions!$B$3=2,Assumptions!$B$8,0),"YES","")</f>
        <v/>
      </c>
    </row>
    <row r="5" spans="1:13" ht="15" customHeight="1" x14ac:dyDescent="0.55000000000000004">
      <c r="A5" s="5">
        <f>Assumptions!$B$4+1</f>
        <v>2027</v>
      </c>
      <c r="B5" s="6">
        <f>IF(A5-Assumptions!$B$4&lt;Assumptions!$B$20,Assumptions!$B$19+(Assumptions!$B$17-Assumptions!$B$19)*(A5-Assumptions!$B$4)/Assumptions!$B$20,IF(A5-Assumptions!$B$4&lt;Assumptions!$B$20+5,Assumptions!$B$17,Assumptions!$B$18))</f>
        <v>56</v>
      </c>
      <c r="C5" s="6">
        <f>IF(A5=Assumptions!$B$4,0,B5*8.766*Assumptions!$B$16)</f>
        <v>166.90464000000003</v>
      </c>
      <c r="D5" s="6">
        <f t="shared" ref="D5:D29" si="2">D4+C5</f>
        <v>166.90464000000003</v>
      </c>
      <c r="E5" s="6">
        <f>Assumptions!$B$9+(Assumptions!$B$10-Assumptions!$B$9)/(1+EXP(-Assumptions!$B$12*(A5-Assumptions!$B$11)))</f>
        <v>243.63992091295233</v>
      </c>
      <c r="F5" s="6">
        <f>(Assumptions!$B$6-Assumptions!$B$9)*(1+Assumptions!$B$13)^(A5-Assumptions!$B$4)</f>
        <v>4135.5749999999998</v>
      </c>
      <c r="G5" s="6">
        <f>Assumptions!$B$14*MIN((A5-Assumptions!$B$4)/(Assumptions!$B$5-Assumptions!$B$4),1)^0.9</f>
        <v>178.26107226078895</v>
      </c>
      <c r="H5" s="6">
        <f>Assumptions!$B$15*MIN((A5-Assumptions!$B$4)/(Assumptions!$B$5-Assumptions!$B$4),1)</f>
        <v>16</v>
      </c>
      <c r="I5" s="6">
        <f t="shared" si="0"/>
        <v>4573.4759931737408</v>
      </c>
      <c r="J5" s="6">
        <f t="shared" si="1"/>
        <v>234.74737919868767</v>
      </c>
      <c r="K5" s="6">
        <f t="shared" ref="K5:K29" si="3">I5-I4</f>
        <v>234.74737919868767</v>
      </c>
      <c r="L5" s="7" t="str">
        <f>IF(A5=Assumptions!$B$4,"",IF(K5&gt;C5,"YES",""))</f>
        <v>YES</v>
      </c>
      <c r="M5" s="7" t="str">
        <f>IF(D5&gt;=J5+IF(Assumptions!$B$3=2,Assumptions!$B$8,0),"YES","")</f>
        <v/>
      </c>
    </row>
    <row r="6" spans="1:13" ht="15" customHeight="1" x14ac:dyDescent="0.55000000000000004">
      <c r="A6" s="5">
        <f>Assumptions!$B$4+2</f>
        <v>2028</v>
      </c>
      <c r="B6" s="6">
        <f>IF(A6-Assumptions!$B$4&lt;Assumptions!$B$20,Assumptions!$B$19+(Assumptions!$B$17-Assumptions!$B$19)*(A6-Assumptions!$B$4)/Assumptions!$B$20,IF(A6-Assumptions!$B$4&lt;Assumptions!$B$20+5,Assumptions!$B$17,Assumptions!$B$18))</f>
        <v>72</v>
      </c>
      <c r="C6" s="6">
        <f>IF(A6=Assumptions!$B$4,0,B6*8.766*Assumptions!$B$16)</f>
        <v>214.59168000000003</v>
      </c>
      <c r="D6" s="6">
        <f t="shared" si="2"/>
        <v>381.49632000000008</v>
      </c>
      <c r="E6" s="6">
        <f>Assumptions!$B$9+(Assumptions!$B$10-Assumptions!$B$9)/(1+EXP(-Assumptions!$B$12*(A6-Assumptions!$B$11)))</f>
        <v>272.23840491379997</v>
      </c>
      <c r="F6" s="6">
        <f>(Assumptions!$B$6-Assumptions!$B$9)*(1+Assumptions!$B$13)^(A6-Assumptions!$B$4)</f>
        <v>4156.2528749999992</v>
      </c>
      <c r="G6" s="6">
        <f>Assumptions!$B$14*MIN((A6-Assumptions!$B$4)/(Assumptions!$B$5-Assumptions!$B$4),1)^0.9</f>
        <v>332.64692305208575</v>
      </c>
      <c r="H6" s="6">
        <f>Assumptions!$B$15*MIN((A6-Assumptions!$B$4)/(Assumptions!$B$5-Assumptions!$B$4),1)</f>
        <v>32</v>
      </c>
      <c r="I6" s="6">
        <f t="shared" si="0"/>
        <v>4793.1382029658853</v>
      </c>
      <c r="J6" s="6">
        <f t="shared" si="1"/>
        <v>454.40958899083216</v>
      </c>
      <c r="K6" s="6">
        <f t="shared" si="3"/>
        <v>219.66220979214449</v>
      </c>
      <c r="L6" s="7" t="str">
        <f>IF(A6=Assumptions!$B$4,"",IF(K6&gt;C6,"YES",""))</f>
        <v>YES</v>
      </c>
      <c r="M6" s="7" t="str">
        <f>IF(D6&gt;=J6+IF(Assumptions!$B$3=2,Assumptions!$B$8,0),"YES","")</f>
        <v/>
      </c>
    </row>
    <row r="7" spans="1:13" ht="15" customHeight="1" x14ac:dyDescent="0.55000000000000004">
      <c r="A7" s="5">
        <f>Assumptions!$B$4+3</f>
        <v>2029</v>
      </c>
      <c r="B7" s="6">
        <f>IF(A7-Assumptions!$B$4&lt;Assumptions!$B$20,Assumptions!$B$19+(Assumptions!$B$17-Assumptions!$B$19)*(A7-Assumptions!$B$4)/Assumptions!$B$20,IF(A7-Assumptions!$B$4&lt;Assumptions!$B$20+5,Assumptions!$B$17,Assumptions!$B$18))</f>
        <v>88</v>
      </c>
      <c r="C7" s="6">
        <f>IF(A7=Assumptions!$B$4,0,B7*8.766*Assumptions!$B$16)</f>
        <v>262.27872000000002</v>
      </c>
      <c r="D7" s="6">
        <f t="shared" si="2"/>
        <v>643.7750400000001</v>
      </c>
      <c r="E7" s="6">
        <f>Assumptions!$B$9+(Assumptions!$B$10-Assumptions!$B$9)/(1+EXP(-Assumptions!$B$12*(A7-Assumptions!$B$11)))</f>
        <v>311.61027865758263</v>
      </c>
      <c r="F7" s="6">
        <f>(Assumptions!$B$6-Assumptions!$B$9)*(1+Assumptions!$B$13)^(A7-Assumptions!$B$4)</f>
        <v>4177.0341393749986</v>
      </c>
      <c r="G7" s="6">
        <f>Assumptions!$B$14*MIN((A7-Assumptions!$B$4)/(Assumptions!$B$5-Assumptions!$B$4),1)^0.9</f>
        <v>479.14354725701787</v>
      </c>
      <c r="H7" s="6">
        <f>Assumptions!$B$15*MIN((A7-Assumptions!$B$4)/(Assumptions!$B$5-Assumptions!$B$4),1)</f>
        <v>48</v>
      </c>
      <c r="I7" s="6">
        <f t="shared" si="0"/>
        <v>5015.787965289599</v>
      </c>
      <c r="J7" s="6">
        <f t="shared" si="1"/>
        <v>677.05935131454589</v>
      </c>
      <c r="K7" s="6">
        <f t="shared" si="3"/>
        <v>222.64976232371373</v>
      </c>
      <c r="L7" s="7" t="str">
        <f>IF(A7=Assumptions!$B$4,"",IF(K7&gt;C7,"YES",""))</f>
        <v/>
      </c>
      <c r="M7" s="7" t="str">
        <f>IF(D7&gt;=J7+IF(Assumptions!$B$3=2,Assumptions!$B$8,0),"YES","")</f>
        <v/>
      </c>
    </row>
    <row r="8" spans="1:13" ht="15" customHeight="1" x14ac:dyDescent="0.55000000000000004">
      <c r="A8" s="5">
        <f>Assumptions!$B$4+4</f>
        <v>2030</v>
      </c>
      <c r="B8" s="6">
        <f>IF(A8-Assumptions!$B$4&lt;Assumptions!$B$20,Assumptions!$B$19+(Assumptions!$B$17-Assumptions!$B$19)*(A8-Assumptions!$B$4)/Assumptions!$B$20,IF(A8-Assumptions!$B$4&lt;Assumptions!$B$20+5,Assumptions!$B$17,Assumptions!$B$18))</f>
        <v>104</v>
      </c>
      <c r="C8" s="6">
        <f>IF(A8=Assumptions!$B$4,0,B8*8.766*Assumptions!$B$16)</f>
        <v>309.96576000000005</v>
      </c>
      <c r="D8" s="6">
        <f t="shared" si="2"/>
        <v>953.74080000000015</v>
      </c>
      <c r="E8" s="6">
        <f>Assumptions!$B$9+(Assumptions!$B$10-Assumptions!$B$9)/(1+EXP(-Assumptions!$B$12*(A8-Assumptions!$B$11)))</f>
        <v>362.76605588562256</v>
      </c>
      <c r="F8" s="6">
        <f>(Assumptions!$B$6-Assumptions!$B$9)*(1+Assumptions!$B$13)^(A8-Assumptions!$B$4)</f>
        <v>4197.9193100718721</v>
      </c>
      <c r="G8" s="6">
        <f>Assumptions!$B$14*MIN((A8-Assumptions!$B$4)/(Assumptions!$B$5-Assumptions!$B$4),1)^0.9</f>
        <v>620.74110748160365</v>
      </c>
      <c r="H8" s="6">
        <f>Assumptions!$B$15*MIN((A8-Assumptions!$B$4)/(Assumptions!$B$5-Assumptions!$B$4),1)</f>
        <v>64</v>
      </c>
      <c r="I8" s="6">
        <f t="shared" si="0"/>
        <v>5245.4264734390981</v>
      </c>
      <c r="J8" s="6">
        <f t="shared" si="1"/>
        <v>906.697859464045</v>
      </c>
      <c r="K8" s="6">
        <f t="shared" si="3"/>
        <v>229.6385081494991</v>
      </c>
      <c r="L8" s="7" t="str">
        <f>IF(A8=Assumptions!$B$4,"",IF(K8&gt;C8,"YES",""))</f>
        <v/>
      </c>
      <c r="M8" s="7" t="str">
        <f>IF(D8&gt;=J8+IF(Assumptions!$B$3=2,Assumptions!$B$8,0),"YES","")</f>
        <v/>
      </c>
    </row>
    <row r="9" spans="1:13" ht="15" customHeight="1" x14ac:dyDescent="0.55000000000000004">
      <c r="A9" s="5">
        <f>Assumptions!$B$4+5</f>
        <v>2031</v>
      </c>
      <c r="B9" s="6">
        <f>IF(A9-Assumptions!$B$4&lt;Assumptions!$B$20,Assumptions!$B$19+(Assumptions!$B$17-Assumptions!$B$19)*(A9-Assumptions!$B$4)/Assumptions!$B$20,IF(A9-Assumptions!$B$4&lt;Assumptions!$B$20+5,Assumptions!$B$17,Assumptions!$B$18))</f>
        <v>120</v>
      </c>
      <c r="C9" s="6">
        <f>IF(A9=Assumptions!$B$4,0,B9*8.766*Assumptions!$B$16)</f>
        <v>357.65280000000007</v>
      </c>
      <c r="D9" s="6">
        <f t="shared" si="2"/>
        <v>1311.3936000000003</v>
      </c>
      <c r="E9" s="6">
        <f>Assumptions!$B$9+(Assumptions!$B$10-Assumptions!$B$9)/(1+EXP(-Assumptions!$B$12*(A9-Assumptions!$B$11)))</f>
        <v>424.45687112122846</v>
      </c>
      <c r="F9" s="6">
        <f>(Assumptions!$B$6-Assumptions!$B$9)*(1+Assumptions!$B$13)^(A9-Assumptions!$B$4)</f>
        <v>4218.9089066222305</v>
      </c>
      <c r="G9" s="6">
        <f>Assumptions!$B$14*MIN((A9-Assumptions!$B$4)/(Assumptions!$B$5-Assumptions!$B$4),1)^0.9</f>
        <v>758.80383723486023</v>
      </c>
      <c r="H9" s="6">
        <f>Assumptions!$B$15*MIN((A9-Assumptions!$B$4)/(Assumptions!$B$5-Assumptions!$B$4),1)</f>
        <v>80</v>
      </c>
      <c r="I9" s="6">
        <f t="shared" si="0"/>
        <v>5482.1696149783193</v>
      </c>
      <c r="J9" s="6">
        <f t="shared" si="1"/>
        <v>1143.4410010032661</v>
      </c>
      <c r="K9" s="6">
        <f t="shared" si="3"/>
        <v>236.74314153922114</v>
      </c>
      <c r="L9" s="7" t="str">
        <f>IF(A9=Assumptions!$B$4,"",IF(K9&gt;C9,"YES",""))</f>
        <v/>
      </c>
      <c r="M9" s="7" t="str">
        <f>IF(D9&gt;=J9+IF(Assumptions!$B$3=2,Assumptions!$B$8,0),"YES","")</f>
        <v/>
      </c>
    </row>
    <row r="10" spans="1:13" ht="15" customHeight="1" x14ac:dyDescent="0.55000000000000004">
      <c r="A10" s="5">
        <f>Assumptions!$B$4+6</f>
        <v>2032</v>
      </c>
      <c r="B10" s="6">
        <f>IF(A10-Assumptions!$B$4&lt;Assumptions!$B$20,Assumptions!$B$19+(Assumptions!$B$17-Assumptions!$B$19)*(A10-Assumptions!$B$4)/Assumptions!$B$20,IF(A10-Assumptions!$B$4&lt;Assumptions!$B$20+5,Assumptions!$B$17,Assumptions!$B$18))</f>
        <v>120</v>
      </c>
      <c r="C10" s="6">
        <f>IF(A10=Assumptions!$B$4,0,B10*8.766*Assumptions!$B$16)</f>
        <v>357.65280000000007</v>
      </c>
      <c r="D10" s="6">
        <f t="shared" si="2"/>
        <v>1669.0464000000004</v>
      </c>
      <c r="E10" s="6">
        <f>Assumptions!$B$9+(Assumptions!$B$10-Assumptions!$B$9)/(1+EXP(-Assumptions!$B$12*(A10-Assumptions!$B$11)))</f>
        <v>492.5</v>
      </c>
      <c r="F10" s="6">
        <f>(Assumptions!$B$6-Assumptions!$B$9)*(1+Assumptions!$B$13)^(A10-Assumptions!$B$4)</f>
        <v>4240.0034511553413</v>
      </c>
      <c r="G10" s="6">
        <f>Assumptions!$B$14*MIN((A10-Assumptions!$B$4)/(Assumptions!$B$5-Assumptions!$B$4),1)^0.9</f>
        <v>894.11347454554596</v>
      </c>
      <c r="H10" s="6">
        <f>Assumptions!$B$15*MIN((A10-Assumptions!$B$4)/(Assumptions!$B$5-Assumptions!$B$4),1)</f>
        <v>96</v>
      </c>
      <c r="I10" s="6">
        <f t="shared" si="0"/>
        <v>5722.6169257008869</v>
      </c>
      <c r="J10" s="6">
        <f t="shared" si="1"/>
        <v>1383.8883117258338</v>
      </c>
      <c r="K10" s="6">
        <f t="shared" si="3"/>
        <v>240.44731072256764</v>
      </c>
      <c r="L10" s="7" t="str">
        <f>IF(A10=Assumptions!$B$4,"",IF(K10&gt;C10,"YES",""))</f>
        <v/>
      </c>
      <c r="M10" s="7" t="str">
        <f>IF(D10&gt;=J10+IF(Assumptions!$B$3=2,Assumptions!$B$8,0),"YES","")</f>
        <v/>
      </c>
    </row>
    <row r="11" spans="1:13" ht="15" customHeight="1" x14ac:dyDescent="0.55000000000000004">
      <c r="A11" s="5">
        <f>Assumptions!$B$4+7</f>
        <v>2033</v>
      </c>
      <c r="B11" s="6">
        <f>IF(A11-Assumptions!$B$4&lt;Assumptions!$B$20,Assumptions!$B$19+(Assumptions!$B$17-Assumptions!$B$19)*(A11-Assumptions!$B$4)/Assumptions!$B$20,IF(A11-Assumptions!$B$4&lt;Assumptions!$B$20+5,Assumptions!$B$17,Assumptions!$B$18))</f>
        <v>120</v>
      </c>
      <c r="C11" s="6">
        <f>IF(A11=Assumptions!$B$4,0,B11*8.766*Assumptions!$B$16)</f>
        <v>357.65280000000007</v>
      </c>
      <c r="D11" s="6">
        <f t="shared" si="2"/>
        <v>2026.6992000000005</v>
      </c>
      <c r="E11" s="6">
        <f>Assumptions!$B$9+(Assumptions!$B$10-Assumptions!$B$9)/(1+EXP(-Assumptions!$B$12*(A11-Assumptions!$B$11)))</f>
        <v>560.54312887877154</v>
      </c>
      <c r="F11" s="6">
        <f>(Assumptions!$B$6-Assumptions!$B$9)*(1+Assumptions!$B$13)^(A11-Assumptions!$B$4)</f>
        <v>4261.2034684111177</v>
      </c>
      <c r="G11" s="6">
        <f>Assumptions!$B$14*MIN((A11-Assumptions!$B$4)/(Assumptions!$B$5-Assumptions!$B$4),1)^0.9</f>
        <v>1027.1757327374082</v>
      </c>
      <c r="H11" s="6">
        <f>Assumptions!$B$15*MIN((A11-Assumptions!$B$4)/(Assumptions!$B$5-Assumptions!$B$4),1)</f>
        <v>112.00000000000001</v>
      </c>
      <c r="I11" s="6">
        <f t="shared" si="0"/>
        <v>5960.922330027297</v>
      </c>
      <c r="J11" s="6">
        <f t="shared" si="1"/>
        <v>1622.1937160522439</v>
      </c>
      <c r="K11" s="6">
        <f t="shared" si="3"/>
        <v>238.3054043264101</v>
      </c>
      <c r="L11" s="7" t="str">
        <f>IF(A11=Assumptions!$B$4,"",IF(K11&gt;C11,"YES",""))</f>
        <v/>
      </c>
      <c r="M11" s="7" t="str">
        <f>IF(D11&gt;=J11+IF(Assumptions!$B$3=2,Assumptions!$B$8,0),"YES","")</f>
        <v/>
      </c>
    </row>
    <row r="12" spans="1:13" ht="15" customHeight="1" x14ac:dyDescent="0.55000000000000004">
      <c r="A12" s="5">
        <f>Assumptions!$B$4+8</f>
        <v>2034</v>
      </c>
      <c r="B12" s="6">
        <f>IF(A12-Assumptions!$B$4&lt;Assumptions!$B$20,Assumptions!$B$19+(Assumptions!$B$17-Assumptions!$B$19)*(A12-Assumptions!$B$4)/Assumptions!$B$20,IF(A12-Assumptions!$B$4&lt;Assumptions!$B$20+5,Assumptions!$B$17,Assumptions!$B$18))</f>
        <v>120</v>
      </c>
      <c r="C12" s="6">
        <f>IF(A12=Assumptions!$B$4,0,B12*8.766*Assumptions!$B$16)</f>
        <v>357.65280000000007</v>
      </c>
      <c r="D12" s="6">
        <f t="shared" si="2"/>
        <v>2384.3520000000008</v>
      </c>
      <c r="E12" s="6">
        <f>Assumptions!$B$9+(Assumptions!$B$10-Assumptions!$B$9)/(1+EXP(-Assumptions!$B$12*(A12-Assumptions!$B$11)))</f>
        <v>622.23394411437744</v>
      </c>
      <c r="F12" s="6">
        <f>(Assumptions!$B$6-Assumptions!$B$9)*(1+Assumptions!$B$13)^(A12-Assumptions!$B$4)</f>
        <v>4282.5094857531731</v>
      </c>
      <c r="G12" s="6">
        <f>Assumptions!$B$14*MIN((A12-Assumptions!$B$4)/(Assumptions!$B$5-Assumptions!$B$4),1)^0.9</f>
        <v>1158.3438649668633</v>
      </c>
      <c r="H12" s="6">
        <f>Assumptions!$B$15*MIN((A12-Assumptions!$B$4)/(Assumptions!$B$5-Assumptions!$B$4),1)</f>
        <v>128</v>
      </c>
      <c r="I12" s="6">
        <f t="shared" si="0"/>
        <v>6191.087294834414</v>
      </c>
      <c r="J12" s="6">
        <f t="shared" si="1"/>
        <v>1852.3586808593609</v>
      </c>
      <c r="K12" s="6">
        <f t="shared" si="3"/>
        <v>230.16496480711703</v>
      </c>
      <c r="L12" s="7" t="str">
        <f>IF(A12=Assumptions!$B$4,"",IF(K12&gt;C12,"YES",""))</f>
        <v/>
      </c>
      <c r="M12" s="7" t="str">
        <f>IF(D12&gt;=J12+IF(Assumptions!$B$3=2,Assumptions!$B$8,0),"YES","")</f>
        <v/>
      </c>
    </row>
    <row r="13" spans="1:13" ht="15" customHeight="1" x14ac:dyDescent="0.55000000000000004">
      <c r="A13" s="5">
        <f>Assumptions!$B$4+9</f>
        <v>2035</v>
      </c>
      <c r="B13" s="6">
        <f>IF(A13-Assumptions!$B$4&lt;Assumptions!$B$20,Assumptions!$B$19+(Assumptions!$B$17-Assumptions!$B$19)*(A13-Assumptions!$B$4)/Assumptions!$B$20,IF(A13-Assumptions!$B$4&lt;Assumptions!$B$20+5,Assumptions!$B$17,Assumptions!$B$18))</f>
        <v>120</v>
      </c>
      <c r="C13" s="6">
        <f>IF(A13=Assumptions!$B$4,0,B13*8.766*Assumptions!$B$16)</f>
        <v>357.65280000000007</v>
      </c>
      <c r="D13" s="6">
        <f t="shared" si="2"/>
        <v>2742.0048000000006</v>
      </c>
      <c r="E13" s="6">
        <f>Assumptions!$B$9+(Assumptions!$B$10-Assumptions!$B$9)/(1+EXP(-Assumptions!$B$12*(A13-Assumptions!$B$11)))</f>
        <v>673.38972134241749</v>
      </c>
      <c r="F13" s="6">
        <f>(Assumptions!$B$6-Assumptions!$B$9)*(1+Assumptions!$B$13)^(A13-Assumptions!$B$4)</f>
        <v>4303.9220331819388</v>
      </c>
      <c r="G13" s="6">
        <f>Assumptions!$B$14*MIN((A13-Assumptions!$B$4)/(Assumptions!$B$5-Assumptions!$B$4),1)^0.9</f>
        <v>1287.8781439291115</v>
      </c>
      <c r="H13" s="6">
        <f>Assumptions!$B$15*MIN((A13-Assumptions!$B$4)/(Assumptions!$B$5-Assumptions!$B$4),1)</f>
        <v>144</v>
      </c>
      <c r="I13" s="6">
        <f t="shared" si="0"/>
        <v>6409.1898984534682</v>
      </c>
      <c r="J13" s="6">
        <f t="shared" si="1"/>
        <v>2070.4612844784151</v>
      </c>
      <c r="K13" s="6">
        <f t="shared" si="3"/>
        <v>218.10260361905421</v>
      </c>
      <c r="L13" s="7" t="str">
        <f>IF(A13=Assumptions!$B$4,"",IF(K13&gt;C13,"YES",""))</f>
        <v/>
      </c>
      <c r="M13" s="7" t="str">
        <f>IF(D13&gt;=J13+IF(Assumptions!$B$3=2,Assumptions!$B$8,0),"YES","")</f>
        <v/>
      </c>
    </row>
    <row r="14" spans="1:13" ht="15" customHeight="1" x14ac:dyDescent="0.55000000000000004">
      <c r="A14" s="5">
        <f>Assumptions!$B$4+10</f>
        <v>2036</v>
      </c>
      <c r="B14" s="6">
        <f>IF(A14-Assumptions!$B$4&lt;Assumptions!$B$20,Assumptions!$B$19+(Assumptions!$B$17-Assumptions!$B$19)*(A14-Assumptions!$B$4)/Assumptions!$B$20,IF(A14-Assumptions!$B$4&lt;Assumptions!$B$20+5,Assumptions!$B$17,Assumptions!$B$18))</f>
        <v>100</v>
      </c>
      <c r="C14" s="6">
        <f>IF(A14=Assumptions!$B$4,0,B14*8.766*Assumptions!$B$16)</f>
        <v>298.04400000000004</v>
      </c>
      <c r="D14" s="6">
        <f t="shared" si="2"/>
        <v>3040.0488000000005</v>
      </c>
      <c r="E14" s="6">
        <f>Assumptions!$B$9+(Assumptions!$B$10-Assumptions!$B$9)/(1+EXP(-Assumptions!$B$12*(A14-Assumptions!$B$11)))</f>
        <v>712.76159508620003</v>
      </c>
      <c r="F14" s="6">
        <f>(Assumptions!$B$6-Assumptions!$B$9)*(1+Assumptions!$B$13)^(A14-Assumptions!$B$4)</f>
        <v>4325.4416433478473</v>
      </c>
      <c r="G14" s="6">
        <f>Assumptions!$B$14*MIN((A14-Assumptions!$B$4)/(Assumptions!$B$5-Assumptions!$B$4),1)^0.9</f>
        <v>1415.978028489701</v>
      </c>
      <c r="H14" s="6">
        <f>Assumptions!$B$15*MIN((A14-Assumptions!$B$4)/(Assumptions!$B$5-Assumptions!$B$4),1)</f>
        <v>160</v>
      </c>
      <c r="I14" s="6">
        <f t="shared" si="0"/>
        <v>6614.1812669237479</v>
      </c>
      <c r="J14" s="6">
        <f t="shared" si="1"/>
        <v>2275.4526529486948</v>
      </c>
      <c r="K14" s="6">
        <f t="shared" si="3"/>
        <v>204.99136847027967</v>
      </c>
      <c r="L14" s="7" t="str">
        <f>IF(A14=Assumptions!$B$4,"",IF(K14&gt;C14,"YES",""))</f>
        <v/>
      </c>
      <c r="M14" s="7" t="str">
        <f>IF(D14&gt;=J14+IF(Assumptions!$B$3=2,Assumptions!$B$8,0),"YES","")</f>
        <v/>
      </c>
    </row>
    <row r="15" spans="1:13" ht="15" customHeight="1" x14ac:dyDescent="0.55000000000000004">
      <c r="A15" s="5">
        <f>Assumptions!$B$4+11</f>
        <v>2037</v>
      </c>
      <c r="B15" s="6">
        <f>IF(A15-Assumptions!$B$4&lt;Assumptions!$B$20,Assumptions!$B$19+(Assumptions!$B$17-Assumptions!$B$19)*(A15-Assumptions!$B$4)/Assumptions!$B$20,IF(A15-Assumptions!$B$4&lt;Assumptions!$B$20+5,Assumptions!$B$17,Assumptions!$B$18))</f>
        <v>100</v>
      </c>
      <c r="C15" s="6">
        <f>IF(A15=Assumptions!$B$4,0,B15*8.766*Assumptions!$B$16)</f>
        <v>298.04400000000004</v>
      </c>
      <c r="D15" s="6">
        <f t="shared" si="2"/>
        <v>3338.0928000000004</v>
      </c>
      <c r="E15" s="6">
        <f>Assumptions!$B$9+(Assumptions!$B$10-Assumptions!$B$9)/(1+EXP(-Assumptions!$B$12*(A15-Assumptions!$B$11)))</f>
        <v>741.36007908704767</v>
      </c>
      <c r="F15" s="6">
        <f>(Assumptions!$B$6-Assumptions!$B$9)*(1+Assumptions!$B$13)^(A15-Assumptions!$B$4)</f>
        <v>4347.0688515645861</v>
      </c>
      <c r="G15" s="6">
        <f>Assumptions!$B$14*MIN((A15-Assumptions!$B$4)/(Assumptions!$B$5-Assumptions!$B$4),1)^0.9</f>
        <v>1542.8010691912905</v>
      </c>
      <c r="H15" s="6">
        <f>Assumptions!$B$15*MIN((A15-Assumptions!$B$4)/(Assumptions!$B$5-Assumptions!$B$4),1)</f>
        <v>176</v>
      </c>
      <c r="I15" s="6">
        <f t="shared" si="0"/>
        <v>6807.2299998429244</v>
      </c>
      <c r="J15" s="6">
        <f t="shared" si="1"/>
        <v>2468.5013858678712</v>
      </c>
      <c r="K15" s="6">
        <f t="shared" si="3"/>
        <v>193.04873291917647</v>
      </c>
      <c r="L15" s="7" t="str">
        <f>IF(A15=Assumptions!$B$4,"",IF(K15&gt;C15,"YES",""))</f>
        <v/>
      </c>
      <c r="M15" s="7" t="str">
        <f>IF(D15&gt;=J15+IF(Assumptions!$B$3=2,Assumptions!$B$8,0),"YES","")</f>
        <v/>
      </c>
    </row>
    <row r="16" spans="1:13" ht="15" customHeight="1" x14ac:dyDescent="0.55000000000000004">
      <c r="A16" s="5">
        <f>Assumptions!$B$4+12</f>
        <v>2038</v>
      </c>
      <c r="B16" s="6">
        <f>IF(A16-Assumptions!$B$4&lt;Assumptions!$B$20,Assumptions!$B$19+(Assumptions!$B$17-Assumptions!$B$19)*(A16-Assumptions!$B$4)/Assumptions!$B$20,IF(A16-Assumptions!$B$4&lt;Assumptions!$B$20+5,Assumptions!$B$17,Assumptions!$B$18))</f>
        <v>100</v>
      </c>
      <c r="C16" s="6">
        <f>IF(A16=Assumptions!$B$4,0,B16*8.766*Assumptions!$B$16)</f>
        <v>298.04400000000004</v>
      </c>
      <c r="D16" s="6">
        <f t="shared" si="2"/>
        <v>3636.1368000000002</v>
      </c>
      <c r="E16" s="6">
        <f>Assumptions!$B$9+(Assumptions!$B$10-Assumptions!$B$9)/(1+EXP(-Assumptions!$B$12*(A16-Assumptions!$B$11)))</f>
        <v>761.27138602494722</v>
      </c>
      <c r="F16" s="6">
        <f>(Assumptions!$B$6-Assumptions!$B$9)*(1+Assumptions!$B$13)^(A16-Assumptions!$B$4)</f>
        <v>4368.8041958224076</v>
      </c>
      <c r="G16" s="6">
        <f>Assumptions!$B$14*MIN((A16-Assumptions!$B$4)/(Assumptions!$B$5-Assumptions!$B$4),1)^0.9</f>
        <v>1668.4747398571999</v>
      </c>
      <c r="H16" s="6">
        <f>Assumptions!$B$15*MIN((A16-Assumptions!$B$4)/(Assumptions!$B$5-Assumptions!$B$4),1)</f>
        <v>192</v>
      </c>
      <c r="I16" s="6">
        <f t="shared" si="0"/>
        <v>6990.5503217045543</v>
      </c>
      <c r="J16" s="6">
        <f t="shared" si="1"/>
        <v>2651.8217077295012</v>
      </c>
      <c r="K16" s="6">
        <f t="shared" si="3"/>
        <v>183.32032186162996</v>
      </c>
      <c r="L16" s="7" t="str">
        <f>IF(A16=Assumptions!$B$4,"",IF(K16&gt;C16,"YES",""))</f>
        <v/>
      </c>
      <c r="M16" s="7" t="str">
        <f>IF(D16&gt;=J16+IF(Assumptions!$B$3=2,Assumptions!$B$8,0),"YES","")</f>
        <v/>
      </c>
    </row>
    <row r="17" spans="1:13" ht="15" customHeight="1" x14ac:dyDescent="0.55000000000000004">
      <c r="A17" s="5">
        <f>Assumptions!$B$4+13</f>
        <v>2039</v>
      </c>
      <c r="B17" s="6">
        <f>IF(A17-Assumptions!$B$4&lt;Assumptions!$B$20,Assumptions!$B$19+(Assumptions!$B$17-Assumptions!$B$19)*(A17-Assumptions!$B$4)/Assumptions!$B$20,IF(A17-Assumptions!$B$4&lt;Assumptions!$B$20+5,Assumptions!$B$17,Assumptions!$B$18))</f>
        <v>100</v>
      </c>
      <c r="C17" s="6">
        <f>IF(A17=Assumptions!$B$4,0,B17*8.766*Assumptions!$B$16)</f>
        <v>298.04400000000004</v>
      </c>
      <c r="D17" s="6">
        <f t="shared" si="2"/>
        <v>3934.1808000000001</v>
      </c>
      <c r="E17" s="6">
        <f>Assumptions!$B$9+(Assumptions!$B$10-Assumptions!$B$9)/(1+EXP(-Assumptions!$B$12*(A17-Assumptions!$B$11)))</f>
        <v>774.72886390671408</v>
      </c>
      <c r="F17" s="6">
        <f>(Assumptions!$B$6-Assumptions!$B$9)*(1+Assumptions!$B$13)^(A17-Assumptions!$B$4)</f>
        <v>4390.6482168015191</v>
      </c>
      <c r="G17" s="6">
        <f>Assumptions!$B$14*MIN((A17-Assumptions!$B$4)/(Assumptions!$B$5-Assumptions!$B$4),1)^0.9</f>
        <v>1793.1042156769897</v>
      </c>
      <c r="H17" s="6">
        <f>Assumptions!$B$15*MIN((A17-Assumptions!$B$4)/(Assumptions!$B$5-Assumptions!$B$4),1)</f>
        <v>208</v>
      </c>
      <c r="I17" s="6">
        <f t="shared" si="0"/>
        <v>7166.4812963852228</v>
      </c>
      <c r="J17" s="6">
        <f t="shared" si="1"/>
        <v>2827.7526824101697</v>
      </c>
      <c r="K17" s="6">
        <f t="shared" si="3"/>
        <v>175.93097468066844</v>
      </c>
      <c r="L17" s="7" t="str">
        <f>IF(A17=Assumptions!$B$4,"",IF(K17&gt;C17,"YES",""))</f>
        <v/>
      </c>
      <c r="M17" s="7" t="str">
        <f>IF(D17&gt;=J17+IF(Assumptions!$B$3=2,Assumptions!$B$8,0),"YES","")</f>
        <v/>
      </c>
    </row>
    <row r="18" spans="1:13" ht="15" customHeight="1" x14ac:dyDescent="0.55000000000000004">
      <c r="A18" s="5">
        <f>Assumptions!$B$4+14</f>
        <v>2040</v>
      </c>
      <c r="B18" s="6">
        <f>IF(A18-Assumptions!$B$4&lt;Assumptions!$B$20,Assumptions!$B$19+(Assumptions!$B$17-Assumptions!$B$19)*(A18-Assumptions!$B$4)/Assumptions!$B$20,IF(A18-Assumptions!$B$4&lt;Assumptions!$B$20+5,Assumptions!$B$17,Assumptions!$B$18))</f>
        <v>100</v>
      </c>
      <c r="C18" s="6">
        <f>IF(A18=Assumptions!$B$4,0,B18*8.766*Assumptions!$B$16)</f>
        <v>298.04400000000004</v>
      </c>
      <c r="D18" s="6">
        <f t="shared" si="2"/>
        <v>4232.2248</v>
      </c>
      <c r="E18" s="6">
        <f>Assumptions!$B$9+(Assumptions!$B$10-Assumptions!$B$9)/(1+EXP(-Assumptions!$B$12*(A18-Assumptions!$B$11)))</f>
        <v>783.6428489502274</v>
      </c>
      <c r="F18" s="6">
        <f>(Assumptions!$B$6-Assumptions!$B$9)*(1+Assumptions!$B$13)^(A18-Assumptions!$B$4)</f>
        <v>4412.6014578855265</v>
      </c>
      <c r="G18" s="6">
        <f>Assumptions!$B$14*MIN((A18-Assumptions!$B$4)/(Assumptions!$B$5-Assumptions!$B$4),1)^0.9</f>
        <v>1916.7776934999922</v>
      </c>
      <c r="H18" s="6">
        <f>Assumptions!$B$15*MIN((A18-Assumptions!$B$4)/(Assumptions!$B$5-Assumptions!$B$4),1)</f>
        <v>224.00000000000003</v>
      </c>
      <c r="I18" s="6">
        <f t="shared" si="0"/>
        <v>7337.0220003357463</v>
      </c>
      <c r="J18" s="6">
        <f t="shared" si="1"/>
        <v>2998.2933863606931</v>
      </c>
      <c r="K18" s="6">
        <f t="shared" si="3"/>
        <v>170.54070395052349</v>
      </c>
      <c r="L18" s="7" t="str">
        <f>IF(A18=Assumptions!$B$4,"",IF(K18&gt;C18,"YES",""))</f>
        <v/>
      </c>
      <c r="M18" s="7" t="str">
        <f>IF(D18&gt;=J18+IF(Assumptions!$B$3=2,Assumptions!$B$8,0),"YES","")</f>
        <v/>
      </c>
    </row>
    <row r="19" spans="1:13" ht="15" customHeight="1" x14ac:dyDescent="0.55000000000000004">
      <c r="A19" s="5">
        <f>Assumptions!$B$4+15</f>
        <v>2041</v>
      </c>
      <c r="B19" s="6">
        <f>IF(A19-Assumptions!$B$4&lt;Assumptions!$B$20,Assumptions!$B$19+(Assumptions!$B$17-Assumptions!$B$19)*(A19-Assumptions!$B$4)/Assumptions!$B$20,IF(A19-Assumptions!$B$4&lt;Assumptions!$B$20+5,Assumptions!$B$17,Assumptions!$B$18))</f>
        <v>100</v>
      </c>
      <c r="C19" s="6">
        <f>IF(A19=Assumptions!$B$4,0,B19*8.766*Assumptions!$B$16)</f>
        <v>298.04400000000004</v>
      </c>
      <c r="D19" s="6">
        <f t="shared" si="2"/>
        <v>4530.2687999999998</v>
      </c>
      <c r="E19" s="6">
        <f>Assumptions!$B$9+(Assumptions!$B$10-Assumptions!$B$9)/(1+EXP(-Assumptions!$B$12*(A19-Assumptions!$B$11)))</f>
        <v>789.46871951082744</v>
      </c>
      <c r="F19" s="6">
        <f>(Assumptions!$B$6-Assumptions!$B$9)*(1+Assumptions!$B$13)^(A19-Assumptions!$B$4)</f>
        <v>4434.664465174953</v>
      </c>
      <c r="G19" s="6">
        <f>Assumptions!$B$14*MIN((A19-Assumptions!$B$4)/(Assumptions!$B$5-Assumptions!$B$4),1)^0.9</f>
        <v>2039.5701519906174</v>
      </c>
      <c r="H19" s="6">
        <f>Assumptions!$B$15*MIN((A19-Assumptions!$B$4)/(Assumptions!$B$5-Assumptions!$B$4),1)</f>
        <v>240</v>
      </c>
      <c r="I19" s="6">
        <f t="shared" si="0"/>
        <v>7503.7033366763972</v>
      </c>
      <c r="J19" s="6">
        <f t="shared" si="1"/>
        <v>3164.974722701344</v>
      </c>
      <c r="K19" s="6">
        <f t="shared" si="3"/>
        <v>166.68133634065089</v>
      </c>
      <c r="L19" s="7" t="str">
        <f>IF(A19=Assumptions!$B$4,"",IF(K19&gt;C19,"YES",""))</f>
        <v/>
      </c>
      <c r="M19" s="7" t="str">
        <f>IF(D19&gt;=J19+IF(Assumptions!$B$3=2,Assumptions!$B$8,0),"YES","")</f>
        <v/>
      </c>
    </row>
    <row r="20" spans="1:13" ht="15" customHeight="1" x14ac:dyDescent="0.55000000000000004">
      <c r="A20" s="5">
        <f>Assumptions!$B$4+16</f>
        <v>2042</v>
      </c>
      <c r="B20" s="6">
        <f>IF(A20-Assumptions!$B$4&lt;Assumptions!$B$20,Assumptions!$B$19+(Assumptions!$B$17-Assumptions!$B$19)*(A20-Assumptions!$B$4)/Assumptions!$B$20,IF(A20-Assumptions!$B$4&lt;Assumptions!$B$20+5,Assumptions!$B$17,Assumptions!$B$18))</f>
        <v>100</v>
      </c>
      <c r="C20" s="6">
        <f>IF(A20=Assumptions!$B$4,0,B20*8.766*Assumptions!$B$16)</f>
        <v>298.04400000000004</v>
      </c>
      <c r="D20" s="6">
        <f t="shared" si="2"/>
        <v>4828.3127999999997</v>
      </c>
      <c r="E20" s="6">
        <f>Assumptions!$B$9+(Assumptions!$B$10-Assumptions!$B$9)/(1+EXP(-Assumptions!$B$12*(A20-Assumptions!$B$11)))</f>
        <v>793.24303028218526</v>
      </c>
      <c r="F20" s="6">
        <f>(Assumptions!$B$6-Assumptions!$B$9)*(1+Assumptions!$B$13)^(A20-Assumptions!$B$4)</f>
        <v>4456.8377875008273</v>
      </c>
      <c r="G20" s="6">
        <f>Assumptions!$B$14*MIN((A20-Assumptions!$B$4)/(Assumptions!$B$5-Assumptions!$B$4),1)^0.9</f>
        <v>2161.5460831166802</v>
      </c>
      <c r="H20" s="6">
        <f>Assumptions!$B$15*MIN((A20-Assumptions!$B$4)/(Assumptions!$B$5-Assumptions!$B$4),1)</f>
        <v>256</v>
      </c>
      <c r="I20" s="6">
        <f t="shared" si="0"/>
        <v>7667.6269008996924</v>
      </c>
      <c r="J20" s="6">
        <f t="shared" si="1"/>
        <v>3328.8982869246393</v>
      </c>
      <c r="K20" s="6">
        <f t="shared" si="3"/>
        <v>163.92356422329522</v>
      </c>
      <c r="L20" s="7" t="str">
        <f>IF(A20=Assumptions!$B$4,"",IF(K20&gt;C20,"YES",""))</f>
        <v/>
      </c>
      <c r="M20" s="7" t="str">
        <f>IF(D20&gt;=J20+IF(Assumptions!$B$3=2,Assumptions!$B$8,0),"YES","")</f>
        <v/>
      </c>
    </row>
    <row r="21" spans="1:13" ht="15" customHeight="1" x14ac:dyDescent="0.55000000000000004">
      <c r="A21" s="5">
        <f>Assumptions!$B$4+17</f>
        <v>2043</v>
      </c>
      <c r="B21" s="6">
        <f>IF(A21-Assumptions!$B$4&lt;Assumptions!$B$20,Assumptions!$B$19+(Assumptions!$B$17-Assumptions!$B$19)*(A21-Assumptions!$B$4)/Assumptions!$B$20,IF(A21-Assumptions!$B$4&lt;Assumptions!$B$20+5,Assumptions!$B$17,Assumptions!$B$18))</f>
        <v>100</v>
      </c>
      <c r="C21" s="6">
        <f>IF(A21=Assumptions!$B$4,0,B21*8.766*Assumptions!$B$16)</f>
        <v>298.04400000000004</v>
      </c>
      <c r="D21" s="6">
        <f t="shared" si="2"/>
        <v>5126.3567999999996</v>
      </c>
      <c r="E21" s="6">
        <f>Assumptions!$B$9+(Assumptions!$B$10-Assumptions!$B$9)/(1+EXP(-Assumptions!$B$12*(A21-Assumptions!$B$11)))</f>
        <v>795.67434389967798</v>
      </c>
      <c r="F21" s="6">
        <f>(Assumptions!$B$6-Assumptions!$B$9)*(1+Assumptions!$B$13)^(A21-Assumptions!$B$4)</f>
        <v>4479.1219764383313</v>
      </c>
      <c r="G21" s="6">
        <f>Assumptions!$B$14*MIN((A21-Assumptions!$B$4)/(Assumptions!$B$5-Assumptions!$B$4),1)^0.9</f>
        <v>2282.7615233270394</v>
      </c>
      <c r="H21" s="6">
        <f>Assumptions!$B$15*MIN((A21-Assumptions!$B$4)/(Assumptions!$B$5-Assumptions!$B$4),1)</f>
        <v>272</v>
      </c>
      <c r="I21" s="6">
        <f t="shared" si="0"/>
        <v>7829.5578436650485</v>
      </c>
      <c r="J21" s="6">
        <f t="shared" si="1"/>
        <v>3490.8292296899954</v>
      </c>
      <c r="K21" s="6">
        <f t="shared" si="3"/>
        <v>161.93094276535612</v>
      </c>
      <c r="L21" s="7" t="str">
        <f>IF(A21=Assumptions!$B$4,"",IF(K21&gt;C21,"YES",""))</f>
        <v/>
      </c>
      <c r="M21" s="7" t="str">
        <f>IF(D21&gt;=J21+IF(Assumptions!$B$3=2,Assumptions!$B$8,0),"YES","")</f>
        <v/>
      </c>
    </row>
    <row r="22" spans="1:13" ht="15" customHeight="1" x14ac:dyDescent="0.55000000000000004">
      <c r="A22" s="5">
        <f>Assumptions!$B$4+18</f>
        <v>2044</v>
      </c>
      <c r="B22" s="6">
        <f>IF(A22-Assumptions!$B$4&lt;Assumptions!$B$20,Assumptions!$B$19+(Assumptions!$B$17-Assumptions!$B$19)*(A22-Assumptions!$B$4)/Assumptions!$B$20,IF(A22-Assumptions!$B$4&lt;Assumptions!$B$20+5,Assumptions!$B$17,Assumptions!$B$18))</f>
        <v>100</v>
      </c>
      <c r="C22" s="6">
        <f>IF(A22=Assumptions!$B$4,0,B22*8.766*Assumptions!$B$16)</f>
        <v>298.04400000000004</v>
      </c>
      <c r="D22" s="6">
        <f t="shared" si="2"/>
        <v>5424.4007999999994</v>
      </c>
      <c r="E22" s="6">
        <f>Assumptions!$B$9+(Assumptions!$B$10-Assumptions!$B$9)/(1+EXP(-Assumptions!$B$12*(A22-Assumptions!$B$11)))</f>
        <v>797.23479200602117</v>
      </c>
      <c r="F22" s="6">
        <f>(Assumptions!$B$6-Assumptions!$B$9)*(1+Assumptions!$B$13)^(A22-Assumptions!$B$4)</f>
        <v>4501.5175863205213</v>
      </c>
      <c r="G22" s="6">
        <f>Assumptions!$B$14*MIN((A22-Assumptions!$B$4)/(Assumptions!$B$5-Assumptions!$B$4),1)^0.9</f>
        <v>2403.2655947300996</v>
      </c>
      <c r="H22" s="6">
        <f>Assumptions!$B$15*MIN((A22-Assumptions!$B$4)/(Assumptions!$B$5-Assumptions!$B$4),1)</f>
        <v>288</v>
      </c>
      <c r="I22" s="6">
        <f t="shared" si="0"/>
        <v>7990.0179730566415</v>
      </c>
      <c r="J22" s="6">
        <f t="shared" si="1"/>
        <v>3651.2893590815884</v>
      </c>
      <c r="K22" s="6">
        <f t="shared" si="3"/>
        <v>160.460129391593</v>
      </c>
      <c r="L22" s="7" t="str">
        <f>IF(A22=Assumptions!$B$4,"",IF(K22&gt;C22,"YES",""))</f>
        <v/>
      </c>
      <c r="M22" s="7" t="str">
        <f>IF(D22&gt;=J22+IF(Assumptions!$B$3=2,Assumptions!$B$8,0),"YES","")</f>
        <v/>
      </c>
    </row>
    <row r="23" spans="1:13" ht="15" customHeight="1" x14ac:dyDescent="0.55000000000000004">
      <c r="A23" s="5">
        <f>Assumptions!$B$4+19</f>
        <v>2045</v>
      </c>
      <c r="B23" s="6">
        <f>IF(A23-Assumptions!$B$4&lt;Assumptions!$B$20,Assumptions!$B$19+(Assumptions!$B$17-Assumptions!$B$19)*(A23-Assumptions!$B$4)/Assumptions!$B$20,IF(A23-Assumptions!$B$4&lt;Assumptions!$B$20+5,Assumptions!$B$17,Assumptions!$B$18))</f>
        <v>100</v>
      </c>
      <c r="C23" s="6">
        <f>IF(A23=Assumptions!$B$4,0,B23*8.766*Assumptions!$B$16)</f>
        <v>298.04400000000004</v>
      </c>
      <c r="D23" s="6">
        <f t="shared" si="2"/>
        <v>5722.4447999999993</v>
      </c>
      <c r="E23" s="6">
        <f>Assumptions!$B$9+(Assumptions!$B$10-Assumptions!$B$9)/(1+EXP(-Assumptions!$B$12*(A23-Assumptions!$B$11)))</f>
        <v>798.23394806924421</v>
      </c>
      <c r="F23" s="6">
        <f>(Assumptions!$B$6-Assumptions!$B$9)*(1+Assumptions!$B$13)^(A23-Assumptions!$B$4)</f>
        <v>4524.0251742521232</v>
      </c>
      <c r="G23" s="6">
        <f>Assumptions!$B$14*MIN((A23-Assumptions!$B$4)/(Assumptions!$B$5-Assumptions!$B$4),1)^0.9</f>
        <v>2523.1016952078362</v>
      </c>
      <c r="H23" s="6">
        <f>Assumptions!$B$15*MIN((A23-Assumptions!$B$4)/(Assumptions!$B$5-Assumptions!$B$4),1)</f>
        <v>304</v>
      </c>
      <c r="I23" s="6">
        <f t="shared" si="0"/>
        <v>8149.3608175292038</v>
      </c>
      <c r="J23" s="6">
        <f t="shared" si="1"/>
        <v>3810.6322035541507</v>
      </c>
      <c r="K23" s="6">
        <f t="shared" si="3"/>
        <v>159.34284447256232</v>
      </c>
      <c r="L23" s="7" t="str">
        <f>IF(A23=Assumptions!$B$4,"",IF(K23&gt;C23,"YES",""))</f>
        <v/>
      </c>
      <c r="M23" s="7" t="str">
        <f>IF(D23&gt;=J23+IF(Assumptions!$B$3=2,Assumptions!$B$8,0),"YES","")</f>
        <v/>
      </c>
    </row>
    <row r="24" spans="1:13" ht="15" customHeight="1" x14ac:dyDescent="0.55000000000000004">
      <c r="A24" s="5">
        <f>Assumptions!$B$4+20</f>
        <v>2046</v>
      </c>
      <c r="B24" s="6">
        <f>IF(A24-Assumptions!$B$4&lt;Assumptions!$B$20,Assumptions!$B$19+(Assumptions!$B$17-Assumptions!$B$19)*(A24-Assumptions!$B$4)/Assumptions!$B$20,IF(A24-Assumptions!$B$4&lt;Assumptions!$B$20+5,Assumptions!$B$17,Assumptions!$B$18))</f>
        <v>100</v>
      </c>
      <c r="C24" s="6">
        <f>IF(A24=Assumptions!$B$4,0,B24*8.766*Assumptions!$B$16)</f>
        <v>298.04400000000004</v>
      </c>
      <c r="D24" s="6">
        <f t="shared" si="2"/>
        <v>6020.4887999999992</v>
      </c>
      <c r="E24" s="6">
        <f>Assumptions!$B$9+(Assumptions!$B$10-Assumptions!$B$9)/(1+EXP(-Assumptions!$B$12*(A24-Assumptions!$B$11)))</f>
        <v>798.87274255036698</v>
      </c>
      <c r="F24" s="6">
        <f>(Assumptions!$B$6-Assumptions!$B$9)*(1+Assumptions!$B$13)^(A24-Assumptions!$B$4)</f>
        <v>4546.645300123384</v>
      </c>
      <c r="G24" s="6">
        <f>Assumptions!$B$14*MIN((A24-Assumptions!$B$4)/(Assumptions!$B$5-Assumptions!$B$4),1)^0.9</f>
        <v>2642.3084317442726</v>
      </c>
      <c r="H24" s="6">
        <f>Assumptions!$B$15*MIN((A24-Assumptions!$B$4)/(Assumptions!$B$5-Assumptions!$B$4),1)</f>
        <v>320</v>
      </c>
      <c r="I24" s="6">
        <f t="shared" si="0"/>
        <v>8307.8264744180233</v>
      </c>
      <c r="J24" s="6">
        <f t="shared" si="1"/>
        <v>3969.0978604429702</v>
      </c>
      <c r="K24" s="6">
        <f t="shared" si="3"/>
        <v>158.46565688881947</v>
      </c>
      <c r="L24" s="7" t="str">
        <f>IF(A24=Assumptions!$B$4,"",IF(K24&gt;C24,"YES",""))</f>
        <v/>
      </c>
      <c r="M24" s="7" t="str">
        <f>IF(D24&gt;=J24+IF(Assumptions!$B$3=2,Assumptions!$B$8,0),"YES","")</f>
        <v/>
      </c>
    </row>
    <row r="25" spans="1:13" ht="15" customHeight="1" x14ac:dyDescent="0.55000000000000004">
      <c r="A25" s="5">
        <f>Assumptions!$B$4+21</f>
        <v>2047</v>
      </c>
      <c r="B25" s="6">
        <f>IF(A25-Assumptions!$B$4&lt;Assumptions!$B$20,Assumptions!$B$19+(Assumptions!$B$17-Assumptions!$B$19)*(A25-Assumptions!$B$4)/Assumptions!$B$20,IF(A25-Assumptions!$B$4&lt;Assumptions!$B$20+5,Assumptions!$B$17,Assumptions!$B$18))</f>
        <v>100</v>
      </c>
      <c r="C25" s="6">
        <f>IF(A25=Assumptions!$B$4,0,B25*8.766*Assumptions!$B$16)</f>
        <v>298.04400000000004</v>
      </c>
      <c r="D25" s="6">
        <f t="shared" si="2"/>
        <v>6318.532799999999</v>
      </c>
      <c r="E25" s="6">
        <f>Assumptions!$B$9+(Assumptions!$B$10-Assumptions!$B$9)/(1+EXP(-Assumptions!$B$12*(A25-Assumptions!$B$11)))</f>
        <v>799.28075118699087</v>
      </c>
      <c r="F25" s="6">
        <f>(Assumptions!$B$6-Assumptions!$B$9)*(1+Assumptions!$B$13)^(A25-Assumptions!$B$4)</f>
        <v>4569.3785266239993</v>
      </c>
      <c r="G25" s="6">
        <f>Assumptions!$B$14*MIN((A25-Assumptions!$B$4)/(Assumptions!$B$5-Assumptions!$B$4),1)^0.9</f>
        <v>2760.9203624676438</v>
      </c>
      <c r="H25" s="6">
        <f>Assumptions!$B$15*MIN((A25-Assumptions!$B$4)/(Assumptions!$B$5-Assumptions!$B$4),1)</f>
        <v>336</v>
      </c>
      <c r="I25" s="6">
        <f t="shared" si="0"/>
        <v>8465.5796402786327</v>
      </c>
      <c r="J25" s="6">
        <f t="shared" si="1"/>
        <v>4126.8510263035796</v>
      </c>
      <c r="K25" s="6">
        <f t="shared" si="3"/>
        <v>157.75316586060944</v>
      </c>
      <c r="L25" s="7" t="str">
        <f>IF(A25=Assumptions!$B$4,"",IF(K25&gt;C25,"YES",""))</f>
        <v/>
      </c>
      <c r="M25" s="7" t="str">
        <f>IF(D25&gt;=J25+IF(Assumptions!$B$3=2,Assumptions!$B$8,0),"YES","")</f>
        <v/>
      </c>
    </row>
    <row r="26" spans="1:13" ht="15" customHeight="1" x14ac:dyDescent="0.55000000000000004">
      <c r="A26" s="5">
        <f>Assumptions!$B$4+22</f>
        <v>2048</v>
      </c>
      <c r="B26" s="6">
        <f>IF(A26-Assumptions!$B$4&lt;Assumptions!$B$20,Assumptions!$B$19+(Assumptions!$B$17-Assumptions!$B$19)*(A26-Assumptions!$B$4)/Assumptions!$B$20,IF(A26-Assumptions!$B$4&lt;Assumptions!$B$20+5,Assumptions!$B$17,Assumptions!$B$18))</f>
        <v>100</v>
      </c>
      <c r="C26" s="6">
        <f>IF(A26=Assumptions!$B$4,0,B26*8.766*Assumptions!$B$16)</f>
        <v>298.04400000000004</v>
      </c>
      <c r="D26" s="6">
        <f t="shared" si="2"/>
        <v>6616.5767999999989</v>
      </c>
      <c r="E26" s="6">
        <f>Assumptions!$B$9+(Assumptions!$B$10-Assumptions!$B$9)/(1+EXP(-Assumptions!$B$12*(A26-Assumptions!$B$11)))</f>
        <v>799.54119226719047</v>
      </c>
      <c r="F26" s="6">
        <f>(Assumptions!$B$6-Assumptions!$B$9)*(1+Assumptions!$B$13)^(A26-Assumptions!$B$4)</f>
        <v>4592.225419257119</v>
      </c>
      <c r="G26" s="6">
        <f>Assumptions!$B$14*MIN((A26-Assumptions!$B$4)/(Assumptions!$B$5-Assumptions!$B$4),1)^0.9</f>
        <v>2878.9685938674697</v>
      </c>
      <c r="H26" s="6">
        <f>Assumptions!$B$15*MIN((A26-Assumptions!$B$4)/(Assumptions!$B$5-Assumptions!$B$4),1)</f>
        <v>352</v>
      </c>
      <c r="I26" s="6">
        <f t="shared" si="0"/>
        <v>8622.7352053917784</v>
      </c>
      <c r="J26" s="6">
        <f t="shared" si="1"/>
        <v>4284.0065914167253</v>
      </c>
      <c r="K26" s="6">
        <f t="shared" si="3"/>
        <v>157.15556511314571</v>
      </c>
      <c r="L26" s="7" t="str">
        <f>IF(A26=Assumptions!$B$4,"",IF(K26&gt;C26,"YES",""))</f>
        <v/>
      </c>
      <c r="M26" s="7" t="str">
        <f>IF(D26&gt;=J26+IF(Assumptions!$B$3=2,Assumptions!$B$8,0),"YES","")</f>
        <v/>
      </c>
    </row>
    <row r="27" spans="1:13" ht="15" customHeight="1" x14ac:dyDescent="0.55000000000000004">
      <c r="A27" s="5">
        <f>Assumptions!$B$4+23</f>
        <v>2049</v>
      </c>
      <c r="B27" s="6">
        <f>IF(A27-Assumptions!$B$4&lt;Assumptions!$B$20,Assumptions!$B$19+(Assumptions!$B$17-Assumptions!$B$19)*(A27-Assumptions!$B$4)/Assumptions!$B$20,IF(A27-Assumptions!$B$4&lt;Assumptions!$B$20+5,Assumptions!$B$17,Assumptions!$B$18))</f>
        <v>100</v>
      </c>
      <c r="C27" s="6">
        <f>IF(A27=Assumptions!$B$4,0,B27*8.766*Assumptions!$B$16)</f>
        <v>298.04400000000004</v>
      </c>
      <c r="D27" s="6">
        <f t="shared" si="2"/>
        <v>6914.6207999999988</v>
      </c>
      <c r="E27" s="6">
        <f>Assumptions!$B$9+(Assumptions!$B$10-Assumptions!$B$9)/(1+EXP(-Assumptions!$B$12*(A27-Assumptions!$B$11)))</f>
        <v>799.70737216441432</v>
      </c>
      <c r="F27" s="6">
        <f>(Assumptions!$B$6-Assumptions!$B$9)*(1+Assumptions!$B$13)^(A27-Assumptions!$B$4)</f>
        <v>4615.1865463534032</v>
      </c>
      <c r="G27" s="6">
        <f>Assumptions!$B$14*MIN((A27-Assumptions!$B$4)/(Assumptions!$B$5-Assumptions!$B$4),1)^0.9</f>
        <v>2996.4812667595502</v>
      </c>
      <c r="H27" s="6">
        <f>Assumptions!$B$15*MIN((A27-Assumptions!$B$4)/(Assumptions!$B$5-Assumptions!$B$4),1)</f>
        <v>368</v>
      </c>
      <c r="I27" s="6">
        <f t="shared" si="0"/>
        <v>8779.3751852773676</v>
      </c>
      <c r="J27" s="6">
        <f t="shared" si="1"/>
        <v>4440.6465713023144</v>
      </c>
      <c r="K27" s="6">
        <f t="shared" si="3"/>
        <v>156.63997988558913</v>
      </c>
      <c r="L27" s="7" t="str">
        <f>IF(A27=Assumptions!$B$4,"",IF(K27&gt;C27,"YES",""))</f>
        <v/>
      </c>
      <c r="M27" s="7" t="str">
        <f>IF(D27&gt;=J27+IF(Assumptions!$B$3=2,Assumptions!$B$8,0),"YES","")</f>
        <v/>
      </c>
    </row>
    <row r="28" spans="1:13" ht="15" customHeight="1" x14ac:dyDescent="0.55000000000000004">
      <c r="A28" s="5">
        <f>Assumptions!$B$4+24</f>
        <v>2050</v>
      </c>
      <c r="B28" s="6">
        <f>IF(A28-Assumptions!$B$4&lt;Assumptions!$B$20,Assumptions!$B$19+(Assumptions!$B$17-Assumptions!$B$19)*(A28-Assumptions!$B$4)/Assumptions!$B$20,IF(A28-Assumptions!$B$4&lt;Assumptions!$B$20+5,Assumptions!$B$17,Assumptions!$B$18))</f>
        <v>100</v>
      </c>
      <c r="C28" s="6">
        <f>IF(A28=Assumptions!$B$4,0,B28*8.766*Assumptions!$B$16)</f>
        <v>298.04400000000004</v>
      </c>
      <c r="D28" s="6">
        <f t="shared" si="2"/>
        <v>7212.6647999999986</v>
      </c>
      <c r="E28" s="6">
        <f>Assumptions!$B$9+(Assumptions!$B$10-Assumptions!$B$9)/(1+EXP(-Assumptions!$B$12*(A28-Assumptions!$B$11)))</f>
        <v>799.81338007653221</v>
      </c>
      <c r="F28" s="6">
        <f>(Assumptions!$B$6-Assumptions!$B$9)*(1+Assumptions!$B$13)^(A28-Assumptions!$B$4)</f>
        <v>4638.2624790851705</v>
      </c>
      <c r="G28" s="6">
        <f>Assumptions!$B$14*MIN((A28-Assumptions!$B$4)/(Assumptions!$B$5-Assumptions!$B$4),1)^0.9</f>
        <v>3113.4839556651195</v>
      </c>
      <c r="H28" s="6">
        <f>Assumptions!$B$15*MIN((A28-Assumptions!$B$4)/(Assumptions!$B$5-Assumptions!$B$4),1)</f>
        <v>384</v>
      </c>
      <c r="I28" s="6">
        <f t="shared" si="0"/>
        <v>8935.5598148268218</v>
      </c>
      <c r="J28" s="6">
        <f t="shared" si="1"/>
        <v>4596.8312008517687</v>
      </c>
      <c r="K28" s="6">
        <f t="shared" si="3"/>
        <v>156.18462954945426</v>
      </c>
      <c r="L28" s="7" t="str">
        <f>IF(A28=Assumptions!$B$4,"",IF(K28&gt;C28,"YES",""))</f>
        <v/>
      </c>
      <c r="M28" s="7" t="str">
        <f>IF(D28&gt;=J28+IF(Assumptions!$B$3=2,Assumptions!$B$8,0),"YES","")</f>
        <v>YES</v>
      </c>
    </row>
    <row r="29" spans="1:13" ht="15" customHeight="1" x14ac:dyDescent="0.55000000000000004">
      <c r="A29" s="5">
        <f>Assumptions!$B$4+25</f>
        <v>2051</v>
      </c>
      <c r="B29" s="6">
        <f>IF(A29-Assumptions!$B$4&lt;Assumptions!$B$20,Assumptions!$B$19+(Assumptions!$B$17-Assumptions!$B$19)*(A29-Assumptions!$B$4)/Assumptions!$B$20,IF(A29-Assumptions!$B$4&lt;Assumptions!$B$20+5,Assumptions!$B$17,Assumptions!$B$18))</f>
        <v>100</v>
      </c>
      <c r="C29" s="6">
        <f>IF(A29=Assumptions!$B$4,0,B29*8.766*Assumptions!$B$16)</f>
        <v>298.04400000000004</v>
      </c>
      <c r="D29" s="6">
        <f t="shared" si="2"/>
        <v>7510.7087999999985</v>
      </c>
      <c r="E29" s="6">
        <f>Assumptions!$B$9+(Assumptions!$B$10-Assumptions!$B$9)/(1+EXP(-Assumptions!$B$12*(A29-Assumptions!$B$11)))</f>
        <v>799.88099279703272</v>
      </c>
      <c r="F29" s="6">
        <f>(Assumptions!$B$6-Assumptions!$B$9)*(1+Assumptions!$B$13)^(A29-Assumptions!$B$4)</f>
        <v>4661.453791480596</v>
      </c>
      <c r="G29" s="6">
        <f>Assumptions!$B$14*MIN((A29-Assumptions!$B$4)/(Assumptions!$B$5-Assumptions!$B$4),1)^0.9</f>
        <v>3230</v>
      </c>
      <c r="H29" s="6">
        <f>Assumptions!$B$15*MIN((A29-Assumptions!$B$4)/(Assumptions!$B$5-Assumptions!$B$4),1)</f>
        <v>400</v>
      </c>
      <c r="I29" s="6">
        <f t="shared" si="0"/>
        <v>9091.3347842776275</v>
      </c>
      <c r="J29" s="6">
        <f t="shared" si="1"/>
        <v>4752.6061703025744</v>
      </c>
      <c r="K29" s="6">
        <f t="shared" si="3"/>
        <v>155.77496945080566</v>
      </c>
      <c r="L29" s="7" t="str">
        <f>IF(A29=Assumptions!$B$4,"",IF(K29&gt;C29,"YES",""))</f>
        <v/>
      </c>
      <c r="M29" s="7" t="str">
        <f>IF(D29&gt;=J29+IF(Assumptions!$B$3=2,Assumptions!$B$8,0),"YES","")</f>
        <v>YES</v>
      </c>
    </row>
    <row r="31" spans="1:13" ht="15" customHeight="1" x14ac:dyDescent="0.55000000000000004">
      <c r="A31" s="8" t="s">
        <v>70</v>
      </c>
    </row>
    <row r="32" spans="1:13" ht="15" customHeight="1" x14ac:dyDescent="0.55000000000000004">
      <c r="A32" s="2" t="s">
        <v>71</v>
      </c>
      <c r="D32" s="22">
        <f>IFERROR(INDEX(A5:A29,MATCH("YES",M5:M29,0)),"&gt;2051")</f>
        <v>2050</v>
      </c>
    </row>
    <row r="33" spans="1:4" ht="15" customHeight="1" x14ac:dyDescent="0.55000000000000004">
      <c r="A33" s="2" t="s">
        <v>72</v>
      </c>
      <c r="D33" s="23">
        <f>COUNTIF(L4:L29,"YES")</f>
        <v>2</v>
      </c>
    </row>
    <row r="34" spans="1:4" ht="15" customHeight="1" x14ac:dyDescent="0.55000000000000004">
      <c r="A34" s="2" t="s">
        <v>73</v>
      </c>
      <c r="D34" s="23">
        <f>D29</f>
        <v>7510.7087999999985</v>
      </c>
    </row>
    <row r="35" spans="1:4" ht="15" customHeight="1" x14ac:dyDescent="0.55000000000000004">
      <c r="A35" s="2" t="s">
        <v>74</v>
      </c>
      <c r="D35" s="23">
        <f>J29+IF(Assumptions!$B$3=2,Assumptions!$B$8,0)</f>
        <v>7302.6061703025744</v>
      </c>
    </row>
    <row r="36" spans="1:4" ht="15" customHeight="1" x14ac:dyDescent="0.55000000000000004">
      <c r="A36" s="2" t="s">
        <v>75</v>
      </c>
      <c r="D36" s="23">
        <f>D34-D35</f>
        <v>208.10262969742416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6"/>
  <sheetViews>
    <sheetView zoomScaleNormal="100" workbookViewId="0"/>
  </sheetViews>
  <sheetFormatPr defaultColWidth="8.68359375" defaultRowHeight="14.4" x14ac:dyDescent="0.55000000000000004"/>
  <cols>
    <col min="1" max="1" width="30" customWidth="1"/>
    <col min="2" max="2" width="14" customWidth="1"/>
  </cols>
  <sheetData>
    <row r="1" spans="1:2" ht="17.25" customHeight="1" x14ac:dyDescent="0.6">
      <c r="A1" s="1" t="s">
        <v>76</v>
      </c>
    </row>
    <row r="3" spans="1:2" ht="15" customHeight="1" x14ac:dyDescent="0.55000000000000004">
      <c r="A3" s="2" t="s">
        <v>77</v>
      </c>
      <c r="B3" s="6">
        <f>BuildSchedule!D35</f>
        <v>7302.6061703025744</v>
      </c>
    </row>
    <row r="4" spans="1:2" ht="15" customHeight="1" x14ac:dyDescent="0.55000000000000004">
      <c r="A4" s="2" t="s">
        <v>78</v>
      </c>
      <c r="B4" s="6">
        <f>Assumptions!B21*0.85*8.766</f>
        <v>670.59900000000005</v>
      </c>
    </row>
    <row r="5" spans="1:2" ht="15" customHeight="1" x14ac:dyDescent="0.55000000000000004">
      <c r="A5" s="2" t="s">
        <v>79</v>
      </c>
      <c r="B5" s="6">
        <f>Assumptions!B22*0.45*8.766</f>
        <v>59.170499999999997</v>
      </c>
    </row>
    <row r="6" spans="1:2" ht="15" customHeight="1" x14ac:dyDescent="0.55000000000000004">
      <c r="A6" s="2" t="s">
        <v>80</v>
      </c>
      <c r="B6" s="6">
        <f>MAX(B3-B4-B5,0)</f>
        <v>6572.836670302574</v>
      </c>
    </row>
    <row r="7" spans="1:2" ht="15" customHeight="1" x14ac:dyDescent="0.55000000000000004">
      <c r="A7" s="2" t="s">
        <v>81</v>
      </c>
      <c r="B7" s="6">
        <f>B6*0.5*1000/(8766*Assumptions!B23)</f>
        <v>1562.1046919686319</v>
      </c>
    </row>
    <row r="8" spans="1:2" ht="15" customHeight="1" x14ac:dyDescent="0.55000000000000004">
      <c r="A8" s="2" t="s">
        <v>82</v>
      </c>
      <c r="B8" s="6">
        <f>B6*0.5*1000/(8766*Assumptions!B24)</f>
        <v>937.26281518117923</v>
      </c>
    </row>
    <row r="10" spans="1:2" ht="15" customHeight="1" x14ac:dyDescent="0.55000000000000004">
      <c r="A10" s="8" t="s">
        <v>83</v>
      </c>
      <c r="B10" s="8" t="s">
        <v>84</v>
      </c>
    </row>
    <row r="11" spans="1:2" ht="15" customHeight="1" x14ac:dyDescent="0.55000000000000004">
      <c r="A11" s="7" t="s">
        <v>85</v>
      </c>
      <c r="B11" s="9">
        <f>B7*Assumptions!B25</f>
        <v>1952.6308649607899</v>
      </c>
    </row>
    <row r="12" spans="1:2" ht="15" customHeight="1" x14ac:dyDescent="0.55000000000000004">
      <c r="A12" s="7" t="s">
        <v>86</v>
      </c>
      <c r="B12" s="9">
        <f>B8*Assumptions!B26</f>
        <v>1593.3467858080046</v>
      </c>
    </row>
    <row r="13" spans="1:2" ht="15" customHeight="1" x14ac:dyDescent="0.55000000000000004">
      <c r="A13" s="7" t="s">
        <v>87</v>
      </c>
      <c r="B13" s="9">
        <f>Assumptions!B21*Assumptions!B27</f>
        <v>405</v>
      </c>
    </row>
    <row r="14" spans="1:2" ht="15" customHeight="1" x14ac:dyDescent="0.55000000000000004">
      <c r="A14" s="7" t="s">
        <v>88</v>
      </c>
      <c r="B14" s="9">
        <f>Assumptions!B22*Assumptions!B28</f>
        <v>45</v>
      </c>
    </row>
    <row r="15" spans="1:2" ht="15" customHeight="1" x14ac:dyDescent="0.55000000000000004">
      <c r="A15" s="7" t="s">
        <v>89</v>
      </c>
      <c r="B15" s="9">
        <f>Assumptions!B29*IF(Assumptions!B3=2,1,0.62)</f>
        <v>1450</v>
      </c>
    </row>
    <row r="16" spans="1:2" ht="15" customHeight="1" x14ac:dyDescent="0.55000000000000004">
      <c r="A16" s="7" t="s">
        <v>90</v>
      </c>
      <c r="B16" s="9">
        <f>Assumptions!B30</f>
        <v>900</v>
      </c>
    </row>
    <row r="17" spans="1:2" ht="15" customHeight="1" x14ac:dyDescent="0.55000000000000004">
      <c r="A17" s="7" t="s">
        <v>91</v>
      </c>
      <c r="B17" s="9">
        <f>Assumptions!B31*IF(Assumptions!B3=2,1,0.79)</f>
        <v>1400</v>
      </c>
    </row>
    <row r="18" spans="1:2" ht="15" customHeight="1" x14ac:dyDescent="0.55000000000000004">
      <c r="A18" s="7" t="s">
        <v>92</v>
      </c>
      <c r="B18" s="9">
        <f>Assumptions!B32</f>
        <v>850</v>
      </c>
    </row>
    <row r="19" spans="1:2" ht="15" customHeight="1" x14ac:dyDescent="0.55000000000000004">
      <c r="A19" s="7" t="s">
        <v>93</v>
      </c>
      <c r="B19" s="9">
        <f>Assumptions!B33</f>
        <v>350</v>
      </c>
    </row>
    <row r="20" spans="1:2" ht="15" customHeight="1" x14ac:dyDescent="0.55000000000000004">
      <c r="A20" s="7" t="s">
        <v>94</v>
      </c>
      <c r="B20" s="9">
        <f>SUM(B11:B19)*Assumptions!B35</f>
        <v>715.67821206150359</v>
      </c>
    </row>
    <row r="21" spans="1:2" ht="15" customHeight="1" x14ac:dyDescent="0.55000000000000004">
      <c r="A21" s="4" t="s">
        <v>95</v>
      </c>
      <c r="B21" s="10">
        <f>SUM(B11:B20)</f>
        <v>9661.6558628302992</v>
      </c>
    </row>
    <row r="22" spans="1:2" ht="15" customHeight="1" x14ac:dyDescent="0.55000000000000004">
      <c r="A22" s="7" t="s">
        <v>96</v>
      </c>
      <c r="B22" s="9">
        <f>Assumptions!B34</f>
        <v>1900</v>
      </c>
    </row>
    <row r="23" spans="1:2" ht="15" customHeight="1" x14ac:dyDescent="0.55000000000000004">
      <c r="A23" s="24" t="s">
        <v>97</v>
      </c>
      <c r="B23" s="25">
        <f>B21+B22</f>
        <v>11561.655862830299</v>
      </c>
    </row>
    <row r="25" spans="1:2" ht="15" customHeight="1" x14ac:dyDescent="0.55000000000000004">
      <c r="A25" s="2" t="s">
        <v>98</v>
      </c>
      <c r="B25" s="9">
        <f>B23/(Assumptions!B5-Assumptions!B4)</f>
        <v>462.46623451321199</v>
      </c>
    </row>
    <row r="26" spans="1:2" ht="15" customHeight="1" x14ac:dyDescent="0.55000000000000004">
      <c r="A26" s="2" t="s">
        <v>99</v>
      </c>
      <c r="B26" s="11">
        <f>B21*1000000000/Assumptions!B36/(Assumptions!B5-Assumptions!B4)/1000000</f>
        <v>1.5458649380528477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5"/>
  <sheetViews>
    <sheetView zoomScaleNormal="100" workbookViewId="0"/>
  </sheetViews>
  <sheetFormatPr defaultColWidth="8.68359375" defaultRowHeight="14.4" x14ac:dyDescent="0.55000000000000004"/>
  <cols>
    <col min="1" max="1" width="40" customWidth="1"/>
    <col min="2" max="4" width="11" customWidth="1"/>
    <col min="5" max="5" width="30" customWidth="1"/>
  </cols>
  <sheetData>
    <row r="1" spans="1:5" ht="17.25" customHeight="1" x14ac:dyDescent="0.6">
      <c r="A1" s="1" t="s">
        <v>100</v>
      </c>
    </row>
    <row r="3" spans="1:5" ht="15" customHeight="1" x14ac:dyDescent="0.55000000000000004">
      <c r="A3" s="2" t="s">
        <v>101</v>
      </c>
      <c r="B3" s="19">
        <v>0.82</v>
      </c>
    </row>
    <row r="4" spans="1:5" ht="15" customHeight="1" x14ac:dyDescent="0.55000000000000004">
      <c r="A4" s="2" t="s">
        <v>102</v>
      </c>
      <c r="B4" s="12">
        <f>Capex!B23*B3/1000</f>
        <v>9.4805578075208459</v>
      </c>
    </row>
    <row r="6" spans="1:5" ht="15" customHeight="1" x14ac:dyDescent="0.55000000000000004">
      <c r="A6" s="8" t="s">
        <v>103</v>
      </c>
    </row>
    <row r="7" spans="1:5" ht="15" customHeight="1" x14ac:dyDescent="0.55000000000000004">
      <c r="A7" s="7" t="s">
        <v>104</v>
      </c>
      <c r="B7" s="18">
        <v>55</v>
      </c>
    </row>
    <row r="8" spans="1:5" ht="15" customHeight="1" x14ac:dyDescent="0.55000000000000004">
      <c r="A8" s="7" t="s">
        <v>105</v>
      </c>
      <c r="B8" s="18">
        <v>25</v>
      </c>
    </row>
    <row r="9" spans="1:5" ht="15" customHeight="1" x14ac:dyDescent="0.55000000000000004">
      <c r="A9" s="7" t="s">
        <v>106</v>
      </c>
      <c r="B9" s="18">
        <v>8</v>
      </c>
    </row>
    <row r="10" spans="1:5" ht="15" customHeight="1" x14ac:dyDescent="0.55000000000000004">
      <c r="A10" s="7" t="s">
        <v>107</v>
      </c>
      <c r="B10" s="18">
        <v>10</v>
      </c>
    </row>
    <row r="11" spans="1:5" ht="15" customHeight="1" x14ac:dyDescent="0.55000000000000004">
      <c r="A11" s="4" t="s">
        <v>108</v>
      </c>
      <c r="B11" s="10">
        <f>SUM(B7:B10)</f>
        <v>98</v>
      </c>
    </row>
    <row r="13" spans="1:5" ht="15" customHeight="1" x14ac:dyDescent="0.55000000000000004">
      <c r="A13" s="8" t="s">
        <v>109</v>
      </c>
      <c r="B13" s="4" t="s">
        <v>110</v>
      </c>
      <c r="C13" s="4" t="s">
        <v>111</v>
      </c>
      <c r="D13" s="4" t="s">
        <v>112</v>
      </c>
      <c r="E13" s="4" t="s">
        <v>113</v>
      </c>
    </row>
    <row r="14" spans="1:5" ht="15" customHeight="1" x14ac:dyDescent="0.55000000000000004">
      <c r="A14" s="7" t="s">
        <v>114</v>
      </c>
      <c r="B14" s="18">
        <v>70</v>
      </c>
      <c r="C14" s="18">
        <v>110</v>
      </c>
      <c r="D14" s="18">
        <v>160</v>
      </c>
      <c r="E14" s="7" t="s">
        <v>115</v>
      </c>
    </row>
    <row r="15" spans="1:5" ht="15" customHeight="1" x14ac:dyDescent="0.55000000000000004">
      <c r="A15" s="7" t="s">
        <v>116</v>
      </c>
      <c r="B15" s="18">
        <v>15</v>
      </c>
      <c r="C15" s="18">
        <v>20</v>
      </c>
      <c r="D15" s="18">
        <v>25</v>
      </c>
      <c r="E15" s="7" t="s">
        <v>117</v>
      </c>
    </row>
    <row r="16" spans="1:5" ht="15" customHeight="1" x14ac:dyDescent="0.55000000000000004">
      <c r="A16" s="7" t="s">
        <v>118</v>
      </c>
      <c r="B16" s="18">
        <v>80</v>
      </c>
      <c r="C16" s="18">
        <v>130</v>
      </c>
      <c r="D16" s="18">
        <v>200</v>
      </c>
      <c r="E16" s="7" t="s">
        <v>119</v>
      </c>
    </row>
    <row r="17" spans="1:5" ht="15" customHeight="1" x14ac:dyDescent="0.55000000000000004">
      <c r="A17" s="7" t="s">
        <v>120</v>
      </c>
      <c r="B17" s="18">
        <v>30</v>
      </c>
      <c r="C17" s="18">
        <v>55</v>
      </c>
      <c r="D17" s="18">
        <v>90</v>
      </c>
      <c r="E17" s="7" t="s">
        <v>121</v>
      </c>
    </row>
    <row r="18" spans="1:5" ht="15" customHeight="1" x14ac:dyDescent="0.55000000000000004">
      <c r="A18" s="7" t="s">
        <v>122</v>
      </c>
      <c r="B18" s="18">
        <v>20</v>
      </c>
      <c r="C18" s="18">
        <v>40</v>
      </c>
      <c r="D18" s="18">
        <v>70</v>
      </c>
      <c r="E18" s="7" t="s">
        <v>123</v>
      </c>
    </row>
    <row r="19" spans="1:5" ht="15" customHeight="1" x14ac:dyDescent="0.55000000000000004">
      <c r="A19" s="7" t="s">
        <v>124</v>
      </c>
      <c r="B19" s="18">
        <v>25</v>
      </c>
      <c r="C19" s="18">
        <v>45</v>
      </c>
      <c r="D19" s="18">
        <v>70</v>
      </c>
      <c r="E19" s="7" t="s">
        <v>125</v>
      </c>
    </row>
    <row r="20" spans="1:5" ht="15" customHeight="1" x14ac:dyDescent="0.55000000000000004">
      <c r="A20" s="7" t="s">
        <v>126</v>
      </c>
      <c r="B20" s="18">
        <v>15</v>
      </c>
      <c r="C20" s="18">
        <v>30</v>
      </c>
      <c r="D20" s="18">
        <v>60</v>
      </c>
      <c r="E20" s="7" t="s">
        <v>127</v>
      </c>
    </row>
    <row r="21" spans="1:5" ht="15" customHeight="1" x14ac:dyDescent="0.55000000000000004">
      <c r="A21" s="7" t="s">
        <v>128</v>
      </c>
      <c r="B21" s="18">
        <v>20</v>
      </c>
      <c r="C21" s="18">
        <v>45</v>
      </c>
      <c r="D21" s="18">
        <v>80</v>
      </c>
      <c r="E21" s="7" t="s">
        <v>129</v>
      </c>
    </row>
    <row r="22" spans="1:5" ht="15" customHeight="1" x14ac:dyDescent="0.55000000000000004">
      <c r="A22" s="4" t="s">
        <v>130</v>
      </c>
      <c r="B22" s="10">
        <f>SUM(B14:B21)</f>
        <v>275</v>
      </c>
      <c r="C22" s="10">
        <f>SUM(C14:C21)</f>
        <v>475</v>
      </c>
      <c r="D22" s="10">
        <f>SUM(D14:D21)</f>
        <v>755</v>
      </c>
    </row>
    <row r="24" spans="1:5" ht="15" customHeight="1" x14ac:dyDescent="0.55000000000000004">
      <c r="A24" s="26" t="s">
        <v>131</v>
      </c>
      <c r="B24" s="25">
        <f>B22-$B$11</f>
        <v>177</v>
      </c>
      <c r="C24" s="25">
        <f>C22-$B$11</f>
        <v>377</v>
      </c>
      <c r="D24" s="25">
        <f>D22-$B$11</f>
        <v>657</v>
      </c>
    </row>
    <row r="25" spans="1:5" ht="15" customHeight="1" x14ac:dyDescent="0.55000000000000004">
      <c r="A25" s="2" t="s">
        <v>132</v>
      </c>
      <c r="B25" s="12">
        <f>B24*(Assumptions!B5-Assumptions!B4)/1000</f>
        <v>4.4249999999999998</v>
      </c>
      <c r="C25" s="12">
        <f>C24*(Assumptions!B5-Assumptions!B4)/1000</f>
        <v>9.4250000000000007</v>
      </c>
      <c r="D25" s="12">
        <f>D24*(Assumptions!B5-Assumptions!B4)/1000</f>
        <v>16.425000000000001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"/>
  <sheetViews>
    <sheetView zoomScaleNormal="100" workbookViewId="0"/>
  </sheetViews>
  <sheetFormatPr defaultColWidth="8.68359375" defaultRowHeight="14.4" x14ac:dyDescent="0.55000000000000004"/>
  <cols>
    <col min="1" max="1" width="38" customWidth="1"/>
    <col min="2" max="2" width="14" customWidth="1"/>
  </cols>
  <sheetData>
    <row r="1" spans="1:2" ht="17.25" customHeight="1" x14ac:dyDescent="0.6">
      <c r="A1" s="1" t="s">
        <v>133</v>
      </c>
    </row>
    <row r="3" spans="1:2" ht="15" customHeight="1" x14ac:dyDescent="0.55000000000000004">
      <c r="A3" s="2" t="s">
        <v>134</v>
      </c>
      <c r="B3" s="9">
        <f>(Assumptions!B43+IF(Assumptions!B3=2,Assumptions!B44,0))*Assumptions!B37</f>
        <v>570</v>
      </c>
    </row>
    <row r="4" spans="1:2" ht="15" customHeight="1" x14ac:dyDescent="0.55000000000000004">
      <c r="A4" s="2" t="s">
        <v>135</v>
      </c>
      <c r="B4" s="9">
        <f>Assumptions!B39*Assumptions!B38</f>
        <v>440</v>
      </c>
    </row>
    <row r="5" spans="1:2" ht="15" customHeight="1" x14ac:dyDescent="0.55000000000000004">
      <c r="A5" s="2" t="s">
        <v>136</v>
      </c>
      <c r="B5" s="9">
        <f>Assumptions!B40*Assumptions!B38</f>
        <v>1045</v>
      </c>
    </row>
    <row r="6" spans="1:2" ht="15" customHeight="1" x14ac:dyDescent="0.55000000000000004">
      <c r="A6" s="2" t="s">
        <v>52</v>
      </c>
      <c r="B6" s="9">
        <f>Assumptions!B41</f>
        <v>1200</v>
      </c>
    </row>
    <row r="7" spans="1:2" ht="15" customHeight="1" x14ac:dyDescent="0.55000000000000004">
      <c r="A7" s="2" t="s">
        <v>137</v>
      </c>
      <c r="B7" s="9">
        <f>Assumptions!B42</f>
        <v>100</v>
      </c>
    </row>
    <row r="8" spans="1:2" ht="15" customHeight="1" x14ac:dyDescent="0.55000000000000004">
      <c r="A8" s="8" t="s">
        <v>138</v>
      </c>
      <c r="B8" s="10">
        <f>B3+B4+B6+B7</f>
        <v>2310</v>
      </c>
    </row>
    <row r="9" spans="1:2" ht="15" customHeight="1" x14ac:dyDescent="0.55000000000000004">
      <c r="A9" s="8" t="s">
        <v>139</v>
      </c>
      <c r="B9" s="10">
        <f>B3+B5+B6+B7</f>
        <v>2915</v>
      </c>
    </row>
    <row r="11" spans="1:2" ht="15" customHeight="1" x14ac:dyDescent="0.55000000000000004">
      <c r="A11" s="2" t="s">
        <v>140</v>
      </c>
      <c r="B11" s="11">
        <f>Capex!B23/B8</f>
        <v>5.0050458280650645</v>
      </c>
    </row>
    <row r="12" spans="1:2" ht="15" customHeight="1" x14ac:dyDescent="0.55000000000000004">
      <c r="A12" s="2" t="s">
        <v>141</v>
      </c>
      <c r="B12" s="11">
        <f>Capex!B23/B9</f>
        <v>3.9662627316742021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8"/>
  <sheetViews>
    <sheetView tabSelected="1" topLeftCell="A37" zoomScaleNormal="100" workbookViewId="0"/>
  </sheetViews>
  <sheetFormatPr defaultColWidth="8.68359375" defaultRowHeight="14.4" x14ac:dyDescent="0.55000000000000004"/>
  <cols>
    <col min="1" max="1" width="52" customWidth="1"/>
    <col min="2" max="4" width="16" customWidth="1"/>
  </cols>
  <sheetData>
    <row r="1" spans="1:2" ht="17.350000000000001" customHeight="1" x14ac:dyDescent="0.6">
      <c r="A1" s="1" t="s">
        <v>142</v>
      </c>
    </row>
    <row r="3" spans="1:2" ht="15" customHeight="1" x14ac:dyDescent="0.55000000000000004">
      <c r="A3" s="2" t="s">
        <v>143</v>
      </c>
      <c r="B3" s="13">
        <v>12000</v>
      </c>
    </row>
    <row r="4" spans="1:2" ht="15" customHeight="1" x14ac:dyDescent="0.55000000000000004">
      <c r="A4" s="2" t="s">
        <v>144</v>
      </c>
      <c r="B4" s="14">
        <v>25</v>
      </c>
    </row>
    <row r="5" spans="1:2" ht="15" customHeight="1" x14ac:dyDescent="0.55000000000000004">
      <c r="A5" s="2" t="s">
        <v>145</v>
      </c>
      <c r="B5" s="17">
        <v>3.85</v>
      </c>
    </row>
    <row r="6" spans="1:2" ht="15" customHeight="1" x14ac:dyDescent="0.55000000000000004">
      <c r="A6" s="2" t="s">
        <v>146</v>
      </c>
      <c r="B6" s="27">
        <v>0.17499999999999999</v>
      </c>
    </row>
    <row r="7" spans="1:2" ht="15" customHeight="1" x14ac:dyDescent="0.55000000000000004">
      <c r="A7" s="2" t="s">
        <v>147</v>
      </c>
      <c r="B7" s="15">
        <v>0.3</v>
      </c>
    </row>
    <row r="8" spans="1:2" ht="15" customHeight="1" x14ac:dyDescent="0.55000000000000004">
      <c r="A8" s="2" t="s">
        <v>148</v>
      </c>
      <c r="B8" s="18">
        <v>220</v>
      </c>
    </row>
    <row r="9" spans="1:2" ht="15" customHeight="1" x14ac:dyDescent="0.55000000000000004">
      <c r="A9" s="2" t="s">
        <v>149</v>
      </c>
      <c r="B9" s="14">
        <v>1</v>
      </c>
    </row>
    <row r="10" spans="1:2" ht="15" customHeight="1" x14ac:dyDescent="0.55000000000000004">
      <c r="A10" s="2" t="s">
        <v>150</v>
      </c>
      <c r="B10" s="14">
        <v>35</v>
      </c>
    </row>
    <row r="11" spans="1:2" ht="15" customHeight="1" x14ac:dyDescent="0.55000000000000004">
      <c r="A11" s="2" t="s">
        <v>151</v>
      </c>
      <c r="B11" s="19">
        <v>0.5</v>
      </c>
    </row>
    <row r="12" spans="1:2" ht="15" customHeight="1" x14ac:dyDescent="0.55000000000000004">
      <c r="A12" s="2" t="s">
        <v>152</v>
      </c>
      <c r="B12" s="19">
        <v>7.0000000000000007E-2</v>
      </c>
    </row>
    <row r="13" spans="1:2" ht="15" customHeight="1" x14ac:dyDescent="0.55000000000000004">
      <c r="A13" s="2" t="s">
        <v>153</v>
      </c>
      <c r="B13" s="18">
        <v>1020</v>
      </c>
    </row>
    <row r="14" spans="1:2" ht="15" customHeight="1" x14ac:dyDescent="0.55000000000000004">
      <c r="A14" s="2" t="s">
        <v>154</v>
      </c>
      <c r="B14" s="19">
        <v>0.15</v>
      </c>
    </row>
    <row r="15" spans="1:2" ht="15" customHeight="1" x14ac:dyDescent="0.55000000000000004">
      <c r="A15" s="2" t="s">
        <v>155</v>
      </c>
      <c r="B15" s="19">
        <v>0.25</v>
      </c>
    </row>
    <row r="17" spans="1:2" ht="15" customHeight="1" x14ac:dyDescent="0.55000000000000004">
      <c r="A17" s="8" t="s">
        <v>156</v>
      </c>
    </row>
    <row r="18" spans="1:2" ht="15" customHeight="1" x14ac:dyDescent="0.55000000000000004">
      <c r="A18" s="2" t="s">
        <v>157</v>
      </c>
      <c r="B18" s="14">
        <v>1</v>
      </c>
    </row>
    <row r="19" spans="1:2" ht="15" customHeight="1" x14ac:dyDescent="0.55000000000000004">
      <c r="A19" s="2" t="s">
        <v>158</v>
      </c>
      <c r="B19" s="14">
        <v>1</v>
      </c>
    </row>
    <row r="20" spans="1:2" ht="15" customHeight="1" x14ac:dyDescent="0.55000000000000004">
      <c r="A20" s="2" t="s">
        <v>159</v>
      </c>
      <c r="B20" s="14">
        <v>0</v>
      </c>
    </row>
    <row r="21" spans="1:2" ht="15" customHeight="1" x14ac:dyDescent="0.55000000000000004">
      <c r="A21" s="2" t="s">
        <v>160</v>
      </c>
      <c r="B21" s="14">
        <v>0</v>
      </c>
    </row>
    <row r="22" spans="1:2" ht="15" customHeight="1" x14ac:dyDescent="0.55000000000000004">
      <c r="A22" s="2" t="s">
        <v>161</v>
      </c>
      <c r="B22" s="14">
        <v>0</v>
      </c>
    </row>
    <row r="23" spans="1:2" ht="15" customHeight="1" x14ac:dyDescent="0.55000000000000004">
      <c r="A23" s="2" t="s">
        <v>162</v>
      </c>
      <c r="B23" s="14">
        <v>0</v>
      </c>
    </row>
    <row r="24" spans="1:2" ht="15" customHeight="1" x14ac:dyDescent="0.55000000000000004">
      <c r="A24" s="2" t="s">
        <v>163</v>
      </c>
      <c r="B24" s="14">
        <v>0</v>
      </c>
    </row>
    <row r="26" spans="1:2" ht="15" customHeight="1" x14ac:dyDescent="0.55000000000000004">
      <c r="A26" s="8" t="s">
        <v>164</v>
      </c>
    </row>
    <row r="27" spans="1:2" ht="15" customHeight="1" x14ac:dyDescent="0.55000000000000004">
      <c r="A27" s="2" t="s">
        <v>165</v>
      </c>
      <c r="B27" s="9">
        <f>B3/B4*B5</f>
        <v>1848</v>
      </c>
    </row>
    <row r="28" spans="1:2" ht="15" customHeight="1" x14ac:dyDescent="0.55000000000000004">
      <c r="A28" s="2" t="s">
        <v>166</v>
      </c>
      <c r="B28" s="9">
        <f>B3*B7*B6</f>
        <v>630</v>
      </c>
    </row>
    <row r="29" spans="1:2" ht="15" customHeight="1" x14ac:dyDescent="0.55000000000000004">
      <c r="A29" s="2" t="s">
        <v>167</v>
      </c>
      <c r="B29" s="9">
        <f>(B27-B28)+B3/12000*350</f>
        <v>1568</v>
      </c>
    </row>
    <row r="30" spans="1:2" ht="15" customHeight="1" x14ac:dyDescent="0.55000000000000004">
      <c r="A30" s="2" t="s">
        <v>168</v>
      </c>
      <c r="B30" s="9">
        <f>CHOOSE(B9,0.45,0.55,0.5,0.35)</f>
        <v>0.45</v>
      </c>
    </row>
    <row r="31" spans="1:2" ht="15" customHeight="1" x14ac:dyDescent="0.55000000000000004">
      <c r="A31" s="2" t="s">
        <v>169</v>
      </c>
      <c r="B31" s="9">
        <f>B8*12*B30</f>
        <v>1188</v>
      </c>
    </row>
    <row r="32" spans="1:2" ht="15" customHeight="1" x14ac:dyDescent="0.55000000000000004">
      <c r="A32" s="2" t="s">
        <v>170</v>
      </c>
      <c r="B32" s="9">
        <f>B8*12*0.18</f>
        <v>475.2</v>
      </c>
    </row>
    <row r="33" spans="1:4" ht="15" customHeight="1" x14ac:dyDescent="0.55000000000000004">
      <c r="A33" s="2" t="s">
        <v>171</v>
      </c>
      <c r="B33" s="9">
        <f>B31*CHOOSE(B9,0.22,0.5,0.6,0)+IF(B9&lt;&gt;4,B32*0.4,0)</f>
        <v>451.44000000000005</v>
      </c>
    </row>
    <row r="34" spans="1:4" ht="15" customHeight="1" x14ac:dyDescent="0.55000000000000004">
      <c r="A34" s="2" t="s">
        <v>172</v>
      </c>
      <c r="B34" s="9">
        <f>B8*12*0.25</f>
        <v>660</v>
      </c>
    </row>
    <row r="35" spans="1:4" ht="15" customHeight="1" x14ac:dyDescent="0.55000000000000004">
      <c r="A35" s="2" t="s">
        <v>173</v>
      </c>
      <c r="B35" s="9">
        <f>B8*12*(1-B30)*0.8</f>
        <v>1161.6000000000001</v>
      </c>
    </row>
    <row r="36" spans="1:4" ht="15" customHeight="1" x14ac:dyDescent="0.55000000000000004">
      <c r="A36" s="2" t="s">
        <v>174</v>
      </c>
      <c r="B36" s="9">
        <f>850*12</f>
        <v>10200</v>
      </c>
    </row>
    <row r="37" spans="1:4" ht="15" customHeight="1" x14ac:dyDescent="0.55000000000000004">
      <c r="A37" s="2" t="s">
        <v>175</v>
      </c>
      <c r="B37" s="9">
        <f>95*12</f>
        <v>1140</v>
      </c>
    </row>
    <row r="38" spans="1:4" ht="15" customHeight="1" x14ac:dyDescent="0.55000000000000004">
      <c r="A38" s="2" t="s">
        <v>163</v>
      </c>
      <c r="B38" s="9">
        <f>90*12</f>
        <v>1080</v>
      </c>
    </row>
    <row r="39" spans="1:4" ht="15" customHeight="1" x14ac:dyDescent="0.55000000000000004">
      <c r="A39" s="2" t="s">
        <v>176</v>
      </c>
      <c r="B39" s="9">
        <f>IF(B18=1,0,B27*0.12)+IF(OR(B19=1,B9=4),0,B31*0.1)+B8*12*0.02</f>
        <v>52.800000000000004</v>
      </c>
    </row>
    <row r="41" spans="1:4" ht="15" customHeight="1" x14ac:dyDescent="0.55000000000000004">
      <c r="A41" s="8" t="s">
        <v>177</v>
      </c>
    </row>
    <row r="42" spans="1:4" ht="15" customHeight="1" x14ac:dyDescent="0.55000000000000004">
      <c r="A42" s="2" t="s">
        <v>178</v>
      </c>
      <c r="B42" s="25">
        <f>B13+B18*B29+B19*B33+B20*B34+B21*B35+B22*B36+B23*B37+B24*B38-B39</f>
        <v>2986.64</v>
      </c>
    </row>
    <row r="43" spans="1:4" ht="15" customHeight="1" x14ac:dyDescent="0.55000000000000004">
      <c r="A43" s="2" t="s">
        <v>179</v>
      </c>
      <c r="B43" s="9">
        <f>B42/12</f>
        <v>248.88666666666666</v>
      </c>
    </row>
    <row r="45" spans="1:4" ht="15" customHeight="1" x14ac:dyDescent="0.55000000000000004">
      <c r="A45" s="8" t="s">
        <v>180</v>
      </c>
      <c r="B45" s="4" t="s">
        <v>181</v>
      </c>
      <c r="C45" s="4" t="s">
        <v>182</v>
      </c>
      <c r="D45" s="4" t="s">
        <v>183</v>
      </c>
    </row>
    <row r="46" spans="1:4" ht="15" customHeight="1" x14ac:dyDescent="0.55000000000000004">
      <c r="A46" s="7" t="s">
        <v>184</v>
      </c>
      <c r="B46" s="9">
        <f>B27/12</f>
        <v>154</v>
      </c>
      <c r="C46" s="9">
        <f>IF(B18=1,B28*(1-B14)/12,B27/12)</f>
        <v>44.625</v>
      </c>
      <c r="D46" s="9">
        <f>B46-C46</f>
        <v>109.375</v>
      </c>
    </row>
    <row r="47" spans="1:4" ht="15" customHeight="1" x14ac:dyDescent="0.55000000000000004">
      <c r="A47" s="7" t="s">
        <v>185</v>
      </c>
      <c r="B47" s="9">
        <f>B8</f>
        <v>220</v>
      </c>
      <c r="C47" s="9">
        <f>MAX(B8*(1-B14)-(B19*B33+B20*B34+B21*B35+B24*B38)/12,20)</f>
        <v>149.38</v>
      </c>
      <c r="D47" s="9">
        <f>B47-C47</f>
        <v>70.62</v>
      </c>
    </row>
    <row r="48" spans="1:4" ht="15" customHeight="1" x14ac:dyDescent="0.55000000000000004">
      <c r="A48" s="7" t="s">
        <v>186</v>
      </c>
      <c r="B48" s="9">
        <f>(B22*B36+B23*B37)/12</f>
        <v>0</v>
      </c>
      <c r="C48" s="9">
        <f>0</f>
        <v>0</v>
      </c>
      <c r="D48" s="9">
        <f>B48-C48</f>
        <v>0</v>
      </c>
    </row>
    <row r="49" spans="1:4" ht="15" customHeight="1" x14ac:dyDescent="0.55000000000000004">
      <c r="A49" s="7" t="s">
        <v>187</v>
      </c>
      <c r="B49" s="9">
        <f>0</f>
        <v>0</v>
      </c>
      <c r="C49" s="9">
        <f>-B13/12</f>
        <v>-85</v>
      </c>
      <c r="D49" s="9">
        <f>B49-C49</f>
        <v>85</v>
      </c>
    </row>
    <row r="50" spans="1:4" ht="15" customHeight="1" x14ac:dyDescent="0.55000000000000004">
      <c r="A50" s="4" t="s">
        <v>188</v>
      </c>
      <c r="B50" s="10">
        <f>SUM(B46:B49)</f>
        <v>374</v>
      </c>
      <c r="C50" s="10">
        <f>SUM(C46:C49)</f>
        <v>109.005</v>
      </c>
      <c r="D50" s="25">
        <f>B50-C50</f>
        <v>264.995</v>
      </c>
    </row>
    <row r="52" spans="1:4" ht="15" customHeight="1" x14ac:dyDescent="0.55000000000000004">
      <c r="A52" s="2" t="s">
        <v>189</v>
      </c>
      <c r="B52" s="9">
        <f>(B27/12+B8+(B22*B36+B23*B37)/12)*(1+B15)</f>
        <v>467.5</v>
      </c>
    </row>
    <row r="53" spans="1:4" ht="15" customHeight="1" x14ac:dyDescent="0.55000000000000004">
      <c r="A53" s="2" t="s">
        <v>190</v>
      </c>
      <c r="B53" s="25">
        <f>B52-MAX(C50,0)</f>
        <v>358.495</v>
      </c>
    </row>
    <row r="55" spans="1:4" ht="15" customHeight="1" x14ac:dyDescent="0.55000000000000004">
      <c r="A55" s="8" t="s">
        <v>191</v>
      </c>
    </row>
    <row r="56" spans="1:4" ht="15" customHeight="1" x14ac:dyDescent="0.55000000000000004">
      <c r="A56" s="2" t="s">
        <v>192</v>
      </c>
      <c r="B56" s="5">
        <f>MAX(65-B10,0)</f>
        <v>30</v>
      </c>
    </row>
    <row r="57" spans="1:4" ht="15" customHeight="1" x14ac:dyDescent="0.55000000000000004">
      <c r="A57" s="2" t="s">
        <v>193</v>
      </c>
      <c r="B57" s="9">
        <f>MAX(B42,0)/12*B11</f>
        <v>124.44333333333333</v>
      </c>
    </row>
    <row r="58" spans="1:4" ht="15" customHeight="1" x14ac:dyDescent="0.55000000000000004">
      <c r="A58" s="2" t="s">
        <v>194</v>
      </c>
      <c r="B58" s="25">
        <f>IF(B56&gt;0,B57*(((1+B12/12)^(B56*12)-1)/(B12/12)),0)</f>
        <v>151817.25728434412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Assumptions</vt:lpstr>
      <vt:lpstr>BuildSchedule</vt:lpstr>
      <vt:lpstr>Capex</vt:lpstr>
      <vt:lpstr>Fiscal</vt:lpstr>
      <vt:lpstr>Benefits</vt:lpstr>
      <vt:lpstr>Household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Jonathan Arnold</cp:lastModifiedBy>
  <cp:revision>0</cp:revision>
  <dcterms:created xsi:type="dcterms:W3CDTF">2026-07-11T02:58:56Z</dcterms:created>
  <dcterms:modified xsi:type="dcterms:W3CDTF">2026-07-12T03:31:54Z</dcterms:modified>
  <dc:language>en-US</dc:language>
</cp:coreProperties>
</file>